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7860" windowHeight="6105" activeTab="0"/>
  </bookViews>
  <sheets>
    <sheet name="Första sidan" sheetId="1" r:id="rId1"/>
    <sheet name="Resultaträkning" sheetId="2" r:id="rId2"/>
    <sheet name="Balansräkning" sheetId="3" r:id="rId3"/>
    <sheet name="Kassaflödesanalys" sheetId="4" r:id="rId4"/>
    <sheet name="Noter" sheetId="5" r:id="rId5"/>
    <sheet name="Revisionsberättelse" sheetId="6" r:id="rId6"/>
    <sheet name="OrginalData" sheetId="7" state="hidden" r:id="rId7"/>
  </sheets>
  <definedNames>
    <definedName name="abtext" localSheetId="5">'Revisionsberättelse'!$A$24</definedName>
    <definedName name="Ar_1">'OrginalData'!$C$6</definedName>
    <definedName name="Ar_2">'OrginalData'!$D$6</definedName>
    <definedName name="AretsResultat" localSheetId="5">'Revisionsberättelse'!$G$42</definedName>
    <definedName name="AretsResultat">'Resultaträkning'!$G$34</definedName>
    <definedName name="AvlyftYF_Ar_1">'Kassaflödesanalys'!$G$16</definedName>
    <definedName name="AvlyftYF_Ar_2">'Kassaflödesanalys'!$I$16</definedName>
    <definedName name="AvsattnYF_Ar_1">'Kassaflödesanalys'!$G$15</definedName>
    <definedName name="AvsattnYF_Ar_2">'Kassaflödesanalys'!$I$15</definedName>
    <definedName name="Avskrivning_Ar_1">'Kassaflödesanalys'!$G$13</definedName>
    <definedName name="Avskrivning_Ar_2">'Kassaflödesanalys'!$I$13</definedName>
    <definedName name="Avskrivningar_Belopp">#REF!</definedName>
    <definedName name="Avskrivningar_Etikett">#REF!</definedName>
    <definedName name="BalanseratResultatFöregåendeÅr">'Balansräkning'!$I$62</definedName>
    <definedName name="BRF_Namn">'OrginalData'!$B$3</definedName>
    <definedName name="BRF_Nummer">'OrginalData'!$A$3</definedName>
    <definedName name="Dispositioner_Ar_1">'Kassaflödesanalys'!$G$17</definedName>
    <definedName name="Dispositioner_Ar_2">'Kassaflödesanalys'!$I$17</definedName>
    <definedName name="DispositionsfondFöregåendeÅr">'Balansräkning'!$I$63</definedName>
    <definedName name="Drift_Belopp">#REF!</definedName>
    <definedName name="Drift_El_Belopp">#REF!</definedName>
    <definedName name="Drift_El_Etikett">#REF!</definedName>
    <definedName name="Drift_Etikett">#REF!</definedName>
    <definedName name="Drift_Fastighetsforsakring_Belopp">#REF!</definedName>
    <definedName name="Drift_Fastighetsforsakring_Etikett">#REF!</definedName>
    <definedName name="Drift_Fastighetsskotsel_Belopp">#REF!</definedName>
    <definedName name="Drift_Fastighetsskotsel_Etikett">#REF!</definedName>
    <definedName name="Drift_Forvaltningsarvoden_Belopp">#REF!</definedName>
    <definedName name="Drift_Forvaltningsarvoden_Etikett">#REF!</definedName>
    <definedName name="Drift_KabelTV_Belopp">#REF!</definedName>
    <definedName name="Drift_KabelTV_Etikett">#REF!</definedName>
    <definedName name="Drift_Ovrig_Drift_Belopp">#REF!</definedName>
    <definedName name="Drift_Ovrig_Drift_Etikett">#REF!</definedName>
    <definedName name="Drift_Personalkostnader_Belopp">#REF!</definedName>
    <definedName name="Drift_Personalkostnader_Etikett">#REF!</definedName>
    <definedName name="Drift_Reparationer_Belopp">#REF!</definedName>
    <definedName name="Drift_Reparationer_Etikett">#REF!</definedName>
    <definedName name="Drift_Sophamtning_Belopp">#REF!</definedName>
    <definedName name="Drift_Sophamtning_Etikett">#REF!</definedName>
    <definedName name="Drift_Uppvarmning_Belopp">#REF!</definedName>
    <definedName name="Drift_Uppvarmning_Etikett">#REF!</definedName>
    <definedName name="Drift_Vatten_Belopp">#REF!</definedName>
    <definedName name="Drift_Vatten_Etikett">#REF!</definedName>
    <definedName name="eay" localSheetId="5">'Revisionsberättelse'!$A$25</definedName>
    <definedName name="Fastighetsskatt_Belopp">#REF!</definedName>
    <definedName name="Fastighetsskatt_Etikett">#REF!</definedName>
    <definedName name="InbInsatser_Ar_1">'Kassaflödesanalys'!$G$38</definedName>
    <definedName name="InbInsatser_Ar_2">'Kassaflödesanalys'!$I$38</definedName>
    <definedName name="Inkomstskatt_Ar_1">'Kassaflödesanalys'!$G$18</definedName>
    <definedName name="Inkomstskatt_Ar_2">'Kassaflödesanalys'!$I$18</definedName>
    <definedName name="InsatserFöregåendeÅr">'Balansräkning'!$I$54</definedName>
    <definedName name="InvFasth_Ar_1">'Kassaflödesanalys'!$G$31</definedName>
    <definedName name="InvFasth_Ar_2">'Kassaflödesanalys'!$I$31</definedName>
    <definedName name="InvFinans_Ar_1">'Kassaflödesanalys'!$G$33</definedName>
    <definedName name="InvFinans_Ar_2">'Kassaflödesanalys'!$I$33</definedName>
    <definedName name="InvMask_Ar_1">'Kassaflödesanalys'!$G$32</definedName>
    <definedName name="InvMask_Ar_2">'Kassaflödesanalys'!$I$32</definedName>
    <definedName name="jagvi11" localSheetId="5">'Revisionsberättelse'!$A$21</definedName>
    <definedName name="jagvi4" localSheetId="5">'Revisionsberättelse'!#REF!</definedName>
    <definedName name="Jmf_storande_post_Belopp">#REF!</definedName>
    <definedName name="Jmf_storande_post_Etikett">#REF!</definedName>
    <definedName name="Konto">'OrginalData'!$K$7</definedName>
    <definedName name="KontoAr1_">'OrginalData'!$M$134</definedName>
    <definedName name="KontoAr1_1111">'OrginalData'!$M$8</definedName>
    <definedName name="KontoAr1_1119">'OrginalData'!$M$9</definedName>
    <definedName name="KontoAr1_1211">'OrginalData'!$M$10</definedName>
    <definedName name="KontoAr1_1219">'OrginalData'!$M$11</definedName>
    <definedName name="KontoAr1_1351">'OrginalData'!$M$12</definedName>
    <definedName name="KontoAr1_1511">'OrginalData'!$M$13</definedName>
    <definedName name="KontoAr1_1512">'OrginalData'!$M$14</definedName>
    <definedName name="KontoAr1_1521">'OrginalData'!$M$15</definedName>
    <definedName name="KontoAr1_1618">'OrginalData'!$M$16</definedName>
    <definedName name="KontoAr1_1619">'OrginalData'!$M$120</definedName>
    <definedName name="KontoAr1_1791">'OrginalData'!$M$17</definedName>
    <definedName name="KontoAr1_1792">'OrginalData'!$M$18</definedName>
    <definedName name="KontoAr1_1940">'OrginalData'!$M$19</definedName>
    <definedName name="KontoAr1_1981">'OrginalData'!$M$20</definedName>
    <definedName name="KontoAr1_2083">'OrginalData'!$M$21</definedName>
    <definedName name="KontoAr1_2087">'OrginalData'!$M$22</definedName>
    <definedName name="KontoAr1_2091">'OrginalData'!$M$23</definedName>
    <definedName name="KontoAr1_2099">'OrginalData'!$M$24</definedName>
    <definedName name="KontoAr1_2281">'OrginalData'!$M$25</definedName>
    <definedName name="KontoAr1_2351">'OrginalData'!$M$26</definedName>
    <definedName name="KontoAr1_2425">'OrginalData'!$M$27</definedName>
    <definedName name="KontoAr1_2441">'OrginalData'!$M$28</definedName>
    <definedName name="KontoAr1_2445">'OrginalData'!$M$29</definedName>
    <definedName name="KontoAr1_2447">'OrginalData'!$M$30</definedName>
    <definedName name="KontoAr1_2448">'OrginalData'!$M$31</definedName>
    <definedName name="KontoAr1_2492">'OrginalData'!$M$32</definedName>
    <definedName name="KontoAr1_2511">'OrginalData'!$M$33</definedName>
    <definedName name="KontoAr1_2616">'OrginalData'!$M$34</definedName>
    <definedName name="KontoAr1_2646">'OrginalData'!$M$35</definedName>
    <definedName name="KontoAr1_2651">'OrginalData'!$M$36</definedName>
    <definedName name="KontoAr1_2711">'OrginalData'!$M$37</definedName>
    <definedName name="KontoAr1_2893">'OrginalData'!$M$38</definedName>
    <definedName name="KontoAr1_2899">'OrginalData'!$M$39</definedName>
    <definedName name="KontoAr1_2941">'OrginalData'!$M$40</definedName>
    <definedName name="KontoAr1_2981">'OrginalData'!$M$41</definedName>
    <definedName name="KontoAr1_2990">'OrginalData'!$M$42</definedName>
    <definedName name="KontoAr1_2991">'OrginalData'!$M$43</definedName>
    <definedName name="KontoAr1_3011">'OrginalData'!$M$44</definedName>
    <definedName name="KontoAr1_3012">'OrginalData'!$M$45</definedName>
    <definedName name="KontoAr1_3015">'OrginalData'!$M$46</definedName>
    <definedName name="KontoAr1_3021">'OrginalData'!$M$47</definedName>
    <definedName name="KontoAr1_3026">'OrginalData'!$M$48</definedName>
    <definedName name="KontoAr1_3083">'OrginalData'!$M$49</definedName>
    <definedName name="KontoAr1_3096">'OrginalData'!$M$121</definedName>
    <definedName name="KontoAr1_3203">'OrginalData'!$M$50</definedName>
    <definedName name="KontoAr1_3212">'OrginalData'!$M$51</definedName>
    <definedName name="KontoAr1_3517">'OrginalData'!$M$52</definedName>
    <definedName name="KontoAr1_3518">'OrginalData'!$M$53</definedName>
    <definedName name="KontoAr1_3745">'OrginalData'!$M$122</definedName>
    <definedName name="KontoAr1_3999">'OrginalData'!$M$54</definedName>
    <definedName name="KontoAr1_4012">'OrginalData'!$M$55</definedName>
    <definedName name="KontoAr1_4013">'OrginalData'!$M$123</definedName>
    <definedName name="KontoAr1_4021">'OrginalData'!$M$56</definedName>
    <definedName name="KontoAr1_4022">'OrginalData'!$M$57</definedName>
    <definedName name="KontoAr1_4071">'OrginalData'!$M$58</definedName>
    <definedName name="KontoAr1_4111">'OrginalData'!$M$59</definedName>
    <definedName name="KontoAr1_4134">'OrginalData'!$M$60</definedName>
    <definedName name="KontoAr1_4135">'OrginalData'!$M$124</definedName>
    <definedName name="KontoAr1_4141">'OrginalData'!$M$61</definedName>
    <definedName name="KontoAr1_4142">'OrginalData'!$M$62</definedName>
    <definedName name="KontoAr1_4143">'OrginalData'!$M$63</definedName>
    <definedName name="KontoAr1_4144">'OrginalData'!$M$64</definedName>
    <definedName name="KontoAr1_4146">'OrginalData'!$M$65</definedName>
    <definedName name="KontoAr1_4151">'OrginalData'!$M$66</definedName>
    <definedName name="KontoAr1_4160">'OrginalData'!$M$67</definedName>
    <definedName name="KontoAr1_4181">'OrginalData'!$M$68</definedName>
    <definedName name="KontoAr1_4193">'OrginalData'!$M$69</definedName>
    <definedName name="KontoAr1_4196">'OrginalData'!$M$70</definedName>
    <definedName name="KontoAr1_4199">'OrginalData'!$M$125</definedName>
    <definedName name="KontoAr1_4216">'OrginalData'!$M$126</definedName>
    <definedName name="KontoAr1_4235">'OrginalData'!$M$127</definedName>
    <definedName name="KontoAr1_4241">'OrginalData'!$M$128</definedName>
    <definedName name="KontoAr1_4243">'OrginalData'!$M$129</definedName>
    <definedName name="KontoAr1_4260">'OrginalData'!$M$130</definedName>
    <definedName name="KontoAr1_4311">'OrginalData'!$M$71</definedName>
    <definedName name="KontoAr1_4325">'OrginalData'!$M$72</definedName>
    <definedName name="KontoAr1_4331">'OrginalData'!$M$73</definedName>
    <definedName name="KontoAr1_4341">'OrginalData'!$M$74</definedName>
    <definedName name="KontoAr1_4343">'OrginalData'!$M$75</definedName>
    <definedName name="KontoAr1_4411">'OrginalData'!$M$76</definedName>
    <definedName name="KontoAr1_4431">'OrginalData'!$M$77</definedName>
    <definedName name="KontoAr1_4441">'OrginalData'!$M$78</definedName>
    <definedName name="KontoAr1_4461">'OrginalData'!$M$79</definedName>
    <definedName name="KontoAr1_4471">'OrginalData'!$M$80</definedName>
    <definedName name="KontoAr1_4481">'OrginalData'!$M$81</definedName>
    <definedName name="KontoAr1_4484">'OrginalData'!$M$82</definedName>
    <definedName name="KontoAr1_4489">'OrginalData'!$M$83</definedName>
    <definedName name="KontoAr1_5411">'OrginalData'!$M$84</definedName>
    <definedName name="KontoAr1_5462">'OrginalData'!$M$85</definedName>
    <definedName name="KontoAr1_5711">'OrginalData'!$M$86</definedName>
    <definedName name="KontoAr1_5712">'OrginalData'!$M$87</definedName>
    <definedName name="KontoAr1_5751">'OrginalData'!$M$88</definedName>
    <definedName name="KontoAr1_5921">'OrginalData'!$M$89</definedName>
    <definedName name="KontoAr1_6074">'OrginalData'!$M$90</definedName>
    <definedName name="KontoAr1_6101">'OrginalData'!$M$91</definedName>
    <definedName name="KontoAr1_6102">'OrginalData'!$M$92</definedName>
    <definedName name="KontoAr1_6104">'OrginalData'!$M$93</definedName>
    <definedName name="KontoAr1_6211">'OrginalData'!$M$94</definedName>
    <definedName name="KontoAr1_6251">'OrginalData'!$M$95</definedName>
    <definedName name="KontoAr1_6321">'OrginalData'!$M$96</definedName>
    <definedName name="KontoAr1_6324">'OrginalData'!$M$97</definedName>
    <definedName name="KontoAr1_6417">'OrginalData'!$M$98</definedName>
    <definedName name="KontoAr1_6418">'OrginalData'!$M$99</definedName>
    <definedName name="KontoAr1_6421">'OrginalData'!$M$100</definedName>
    <definedName name="KontoAr1_6492">'OrginalData'!$M$101</definedName>
    <definedName name="KontoAr1_6551">'OrginalData'!$M$102</definedName>
    <definedName name="KontoAr1_6591">'OrginalData'!$M$131</definedName>
    <definedName name="KontoAr1_6985">'OrginalData'!$M$103</definedName>
    <definedName name="KontoAr1_7013">'OrginalData'!$M$104</definedName>
    <definedName name="KontoAr1_7211">'OrginalData'!$M$105</definedName>
    <definedName name="KontoAr1_7214">'OrginalData'!$M$106</definedName>
    <definedName name="KontoAr1_7511">'OrginalData'!$M$107</definedName>
    <definedName name="KontoAr1_7612">'OrginalData'!$M$108</definedName>
    <definedName name="KontoAr1_7821">'OrginalData'!$M$109</definedName>
    <definedName name="KontoAr1_7831">'OrginalData'!$M$132</definedName>
    <definedName name="KontoAr1_8301">'OrginalData'!$M$110</definedName>
    <definedName name="KontoAr1_8337">'OrginalData'!$M$111</definedName>
    <definedName name="KontoAr1_8339">'OrginalData'!$M$112</definedName>
    <definedName name="KontoAr1_8401">'OrginalData'!$M$113</definedName>
    <definedName name="KontoAr1_8430">'OrginalData'!$M$114</definedName>
    <definedName name="KontoAr1_8431">'OrginalData'!$M$115</definedName>
    <definedName name="KontoAr1_8873">'OrginalData'!$M$116</definedName>
    <definedName name="KontoAr1_8911">'OrginalData'!$M$117</definedName>
    <definedName name="KontoAr1_8912">'OrginalData'!$M$118</definedName>
    <definedName name="KontoAr1_8999">'OrginalData'!$M$133</definedName>
    <definedName name="KontoAr1_9000">'OrginalData'!$M$119</definedName>
    <definedName name="KontoAr2_">'OrginalData'!$N$134</definedName>
    <definedName name="KontoAr2_1111">'OrginalData'!$N$8</definedName>
    <definedName name="KontoAr2_1119">'OrginalData'!$N$9</definedName>
    <definedName name="KontoAr2_1211">'OrginalData'!$N$10</definedName>
    <definedName name="KontoAr2_1219">'OrginalData'!$N$11</definedName>
    <definedName name="KontoAr2_1351">'OrginalData'!$N$12</definedName>
    <definedName name="KontoAr2_1511">'OrginalData'!$N$13</definedName>
    <definedName name="KontoAr2_1512">'OrginalData'!$N$14</definedName>
    <definedName name="KontoAr2_1521">'OrginalData'!$N$15</definedName>
    <definedName name="KontoAr2_1618">'OrginalData'!$N$16</definedName>
    <definedName name="KontoAr2_1619">'OrginalData'!$N$120</definedName>
    <definedName name="KontoAr2_1791">'OrginalData'!$N$17</definedName>
    <definedName name="KontoAr2_1792">'OrginalData'!$N$18</definedName>
    <definedName name="KontoAr2_1940">'OrginalData'!$N$19</definedName>
    <definedName name="KontoAr2_1981">'OrginalData'!$N$20</definedName>
    <definedName name="KontoAr2_2083">'OrginalData'!$N$21</definedName>
    <definedName name="KontoAr2_2087">'OrginalData'!$N$22</definedName>
    <definedName name="KontoAr2_2091">'OrginalData'!$N$23</definedName>
    <definedName name="KontoAr2_2099">'OrginalData'!$N$24</definedName>
    <definedName name="KontoAr2_2281">'OrginalData'!$N$25</definedName>
    <definedName name="KontoAr2_2351">'OrginalData'!$N$26</definedName>
    <definedName name="KontoAr2_2425">'OrginalData'!$N$27</definedName>
    <definedName name="KontoAr2_2441">'OrginalData'!$N$28</definedName>
    <definedName name="KontoAr2_2445">'OrginalData'!$N$29</definedName>
    <definedName name="KontoAr2_2447">'OrginalData'!$N$30</definedName>
    <definedName name="KontoAr2_2448">'OrginalData'!$N$31</definedName>
    <definedName name="KontoAr2_2492">'OrginalData'!$N$32</definedName>
    <definedName name="KontoAr2_2511">'OrginalData'!$N$33</definedName>
    <definedName name="KontoAr2_2616">'OrginalData'!$N$34</definedName>
    <definedName name="KontoAr2_2646">'OrginalData'!$N$35</definedName>
    <definedName name="KontoAr2_2651">'OrginalData'!$N$36</definedName>
    <definedName name="KontoAr2_2711">'OrginalData'!$N$37</definedName>
    <definedName name="KontoAr2_2893">'OrginalData'!$N$38</definedName>
    <definedName name="KontoAr2_2899">'OrginalData'!$N$39</definedName>
    <definedName name="KontoAr2_2941">'OrginalData'!$N$40</definedName>
    <definedName name="KontoAr2_2981">'OrginalData'!$N$41</definedName>
    <definedName name="KontoAr2_2990">'OrginalData'!$N$42</definedName>
    <definedName name="KontoAr2_2991">'OrginalData'!$N$43</definedName>
    <definedName name="KontoAr2_3011">'OrginalData'!$N$44</definedName>
    <definedName name="KontoAr2_3012">'OrginalData'!$N$45</definedName>
    <definedName name="KontoAr2_3015">'OrginalData'!$N$46</definedName>
    <definedName name="KontoAr2_3021">'OrginalData'!$N$47</definedName>
    <definedName name="KontoAr2_3026">'OrginalData'!$N$48</definedName>
    <definedName name="KontoAr2_3083">'OrginalData'!$N$49</definedName>
    <definedName name="KontoAr2_3096">'OrginalData'!$N$121</definedName>
    <definedName name="KontoAr2_3203">'OrginalData'!$N$50</definedName>
    <definedName name="KontoAr2_3212">'OrginalData'!$N$51</definedName>
    <definedName name="KontoAr2_3517">'OrginalData'!$N$52</definedName>
    <definedName name="KontoAr2_3518">'OrginalData'!$N$53</definedName>
    <definedName name="KontoAr2_3745">'OrginalData'!$N$122</definedName>
    <definedName name="KontoAr2_3999">'OrginalData'!$N$54</definedName>
    <definedName name="KontoAr2_4012">'OrginalData'!$N$55</definedName>
    <definedName name="KontoAr2_4013">'OrginalData'!$N$123</definedName>
    <definedName name="KontoAr2_4021">'OrginalData'!$N$56</definedName>
    <definedName name="KontoAr2_4022">'OrginalData'!$N$57</definedName>
    <definedName name="KontoAr2_4071">'OrginalData'!$N$58</definedName>
    <definedName name="KontoAr2_4111">'OrginalData'!$N$59</definedName>
    <definedName name="KontoAr2_4134">'OrginalData'!$N$60</definedName>
    <definedName name="KontoAr2_4135">'OrginalData'!$N$124</definedName>
    <definedName name="KontoAr2_4141">'OrginalData'!$N$61</definedName>
    <definedName name="KontoAr2_4142">'OrginalData'!$N$62</definedName>
    <definedName name="KontoAr2_4143">'OrginalData'!$N$63</definedName>
    <definedName name="KontoAr2_4144">'OrginalData'!$N$64</definedName>
    <definedName name="KontoAr2_4146">'OrginalData'!$N$65</definedName>
    <definedName name="KontoAr2_4151">'OrginalData'!$N$66</definedName>
    <definedName name="KontoAr2_4160">'OrginalData'!$N$67</definedName>
    <definedName name="KontoAr2_4181">'OrginalData'!$N$68</definedName>
    <definedName name="KontoAr2_4193">'OrginalData'!$N$69</definedName>
    <definedName name="KontoAr2_4196">'OrginalData'!$N$70</definedName>
    <definedName name="KontoAr2_4199">'OrginalData'!$N$125</definedName>
    <definedName name="KontoAr2_4216">'OrginalData'!$N$126</definedName>
    <definedName name="KontoAr2_4235">'OrginalData'!$N$127</definedName>
    <definedName name="KontoAr2_4241">'OrginalData'!$N$128</definedName>
    <definedName name="KontoAr2_4243">'OrginalData'!$N$129</definedName>
    <definedName name="KontoAr2_4260">'OrginalData'!$N$130</definedName>
    <definedName name="KontoAr2_4311">'OrginalData'!$N$71</definedName>
    <definedName name="KontoAr2_4325">'OrginalData'!$N$72</definedName>
    <definedName name="KontoAr2_4331">'OrginalData'!$N$73</definedName>
    <definedName name="KontoAr2_4341">'OrginalData'!$N$74</definedName>
    <definedName name="KontoAr2_4343">'OrginalData'!$N$75</definedName>
    <definedName name="KontoAr2_4411">'OrginalData'!$N$76</definedName>
    <definedName name="KontoAr2_4431">'OrginalData'!$N$77</definedName>
    <definedName name="KontoAr2_4441">'OrginalData'!$N$78</definedName>
    <definedName name="KontoAr2_4461">'OrginalData'!$N$79</definedName>
    <definedName name="KontoAr2_4471">'OrginalData'!$N$80</definedName>
    <definedName name="KontoAr2_4481">'OrginalData'!$N$81</definedName>
    <definedName name="KontoAr2_4484">'OrginalData'!$N$82</definedName>
    <definedName name="KontoAr2_4489">'OrginalData'!$N$83</definedName>
    <definedName name="KontoAr2_5411">'OrginalData'!$N$84</definedName>
    <definedName name="KontoAr2_5462">'OrginalData'!$N$85</definedName>
    <definedName name="KontoAr2_5711">'OrginalData'!$N$86</definedName>
    <definedName name="KontoAr2_5712">'OrginalData'!$N$87</definedName>
    <definedName name="KontoAr2_5751">'OrginalData'!$N$88</definedName>
    <definedName name="KontoAr2_5921">'OrginalData'!$N$89</definedName>
    <definedName name="KontoAr2_6074">'OrginalData'!$N$90</definedName>
    <definedName name="KontoAr2_6101">'OrginalData'!$N$91</definedName>
    <definedName name="KontoAr2_6102">'OrginalData'!$N$92</definedName>
    <definedName name="KontoAr2_6104">'OrginalData'!$N$93</definedName>
    <definedName name="KontoAr2_6211">'OrginalData'!$N$94</definedName>
    <definedName name="KontoAr2_6251">'OrginalData'!$N$95</definedName>
    <definedName name="KontoAr2_6321">'OrginalData'!$N$96</definedName>
    <definedName name="KontoAr2_6324">'OrginalData'!$N$97</definedName>
    <definedName name="KontoAr2_6417">'OrginalData'!$N$98</definedName>
    <definedName name="KontoAr2_6418">'OrginalData'!$N$99</definedName>
    <definedName name="KontoAr2_6421">'OrginalData'!$N$100</definedName>
    <definedName name="KontoAr2_6492">'OrginalData'!$N$101</definedName>
    <definedName name="KontoAr2_6551">'OrginalData'!$N$102</definedName>
    <definedName name="KontoAr2_6591">'OrginalData'!$N$131</definedName>
    <definedName name="KontoAr2_6985">'OrginalData'!$N$103</definedName>
    <definedName name="KontoAr2_7013">'OrginalData'!$N$104</definedName>
    <definedName name="KontoAr2_7211">'OrginalData'!$N$105</definedName>
    <definedName name="KontoAr2_7214">'OrginalData'!$N$106</definedName>
    <definedName name="KontoAr2_7511">'OrginalData'!$N$107</definedName>
    <definedName name="KontoAr2_7612">'OrginalData'!$N$108</definedName>
    <definedName name="KontoAr2_7821">'OrginalData'!$N$109</definedName>
    <definedName name="KontoAr2_7831">'OrginalData'!$N$132</definedName>
    <definedName name="KontoAr2_8301">'OrginalData'!$N$110</definedName>
    <definedName name="KontoAr2_8337">'OrginalData'!$N$111</definedName>
    <definedName name="KontoAr2_8339">'OrginalData'!$N$112</definedName>
    <definedName name="KontoAr2_8401">'OrginalData'!$N$113</definedName>
    <definedName name="KontoAr2_8430">'OrginalData'!$N$114</definedName>
    <definedName name="KontoAr2_8431">'OrginalData'!$N$115</definedName>
    <definedName name="KontoAr2_8873">'OrginalData'!$N$116</definedName>
    <definedName name="KontoAr2_8911">'OrginalData'!$N$117</definedName>
    <definedName name="KontoAr2_8912">'OrginalData'!$N$118</definedName>
    <definedName name="KontoAr2_8999">'OrginalData'!$N$133</definedName>
    <definedName name="KontoAr2_9000">'OrginalData'!$N$119</definedName>
    <definedName name="Kontosaldon">'OrginalData'!$F$7:$I$133</definedName>
    <definedName name="KontosaldonBR">'OrginalData'!$A$20:$D$42</definedName>
    <definedName name="KontosaldonRR">'OrginalData'!$A$7:$D$19</definedName>
    <definedName name="KortaFordr_Ar_1">'Kassaflödesanalys'!$G$23</definedName>
    <definedName name="KortaFordr_Ar_2">'Kassaflödesanalys'!$I$23</definedName>
    <definedName name="KortaSkulder_Ar_1">'Kassaflödesanalys'!$G$25</definedName>
    <definedName name="KortaSkulder_Ar_2">'Kassaflödesanalys'!$I$25</definedName>
    <definedName name="Lager_Ar_1">'Kassaflödesanalys'!$G$22</definedName>
    <definedName name="Lager_Ar_2">'Kassaflödesanalys'!$I$22</definedName>
    <definedName name="LikvidSlut_Ar_1">'Kassaflödesanalys'!$G$44</definedName>
    <definedName name="LikvidSlut_Ar_2">'Kassaflödesanalys'!$I$44</definedName>
    <definedName name="LikvidStart_Ar_1">'Kassaflödesanalys'!$G$43</definedName>
    <definedName name="LikvidStart_Ar_2">'Kassaflödesanalys'!$I$43</definedName>
    <definedName name="LångaSkulder_Ar_1">'Kassaflödesanalys'!$G$37</definedName>
    <definedName name="LångaSkulder_Ar_2">'Kassaflödesanalys'!$I$37</definedName>
    <definedName name="Nedskrivning_Ar_1">'Kassaflödesanalys'!$G$14</definedName>
    <definedName name="Nedskrivning_Ar_2">'Kassaflödesanalys'!$I$14</definedName>
    <definedName name="Noter">'OrginalData'!$F$7</definedName>
    <definedName name="NotSaldon">'OrginalData'!$F$7:$I$43</definedName>
    <definedName name="Rantekostnader_Belopp">#REF!</definedName>
    <definedName name="Rantekostnader_Etikett">#REF!</definedName>
    <definedName name="Resultat_Ar_1">'Kassaflödesanalys'!$G$9</definedName>
    <definedName name="Resultat_Ar_2">'Kassaflödesanalys'!$I$9</definedName>
    <definedName name="Skatt_Belopp">#REF!</definedName>
    <definedName name="Skatt_Etikett">#REF!</definedName>
    <definedName name="Tomtrattsavgald_Belopp">#REF!</definedName>
    <definedName name="Tomtrattsavgald_Etikett">#REF!</definedName>
    <definedName name="Underhall_Belopp">#REF!</definedName>
    <definedName name="Underhall_Etikett">#REF!</definedName>
    <definedName name="UpplåtelseavgifterFöregåendeÅr">'Balansräkning'!$I$55</definedName>
    <definedName name="_xlnm.Print_Area" localSheetId="5">'Revisionsberättelse'!$A$1:$I$23</definedName>
    <definedName name="_xlnm.Print_Titles" localSheetId="2">'Balansräkning'!$1:$6</definedName>
    <definedName name="_xlnm.Print_Titles" localSheetId="4">'Noter'!$1:$4</definedName>
    <definedName name="_xlnm.Print_Titles" localSheetId="1">'Resultaträkning'!$1:$6</definedName>
    <definedName name="_xlnm.Print_Titles" localSheetId="5">'Revisionsberättelse'!$1:$6</definedName>
    <definedName name="vd2" localSheetId="5">'Revisionsberättelse'!$A$11</definedName>
    <definedName name="CRITERIA">'OrginalData'!$A$7</definedName>
    <definedName name="VillkorAr1_">'OrginalData'!$H$44</definedName>
    <definedName name="VillkorAr1_100">'OrginalData'!$C$21</definedName>
    <definedName name="VillkorAr1_101">'OrginalData'!$C$22</definedName>
    <definedName name="VillkorAr1_104">'OrginalData'!$C$23</definedName>
    <definedName name="VillkorAr1_105">'OrginalData'!$C$24</definedName>
    <definedName name="VillkorAr1_106">'OrginalData'!$C$25</definedName>
    <definedName name="VillkorAr1_108">'OrginalData'!$C$26</definedName>
    <definedName name="VillkorAr1_109">'OrginalData'!$C$27</definedName>
    <definedName name="VillkorAr1_110">'OrginalData'!$C$28</definedName>
    <definedName name="VillkorAr1_111">'OrginalData'!$C$29</definedName>
    <definedName name="VillkorAr1_112">'OrginalData'!$C$30</definedName>
    <definedName name="VillkorAr1_114">'OrginalData'!$C$31</definedName>
    <definedName name="VillkorAr1_115">'OrginalData'!$C$32</definedName>
    <definedName name="VillkorAr1_117">'OrginalData'!$C$33</definedName>
    <definedName name="VillkorAr1_120">'OrginalData'!$C$34</definedName>
    <definedName name="VillkorAr1_121">'OrginalData'!$C$35</definedName>
    <definedName name="VillkorAr1_122">'OrginalData'!$C$36</definedName>
    <definedName name="VillkorAr1_123">'OrginalData'!$C$37</definedName>
    <definedName name="VillkorAr1_124">'OrginalData'!$C$16</definedName>
    <definedName name="VillkorAr1_126">'OrginalData'!$H$8</definedName>
    <definedName name="VillkorAr1_127">'OrginalData'!$H$9</definedName>
    <definedName name="VillkorAr1_128">'OrginalData'!$H$10</definedName>
    <definedName name="VillkorAr1_130">'OrginalData'!$H$41</definedName>
    <definedName name="VillkorAr1_132">'OrginalData'!$H$11</definedName>
    <definedName name="VillkorAr1_133">'OrginalData'!$H$12</definedName>
    <definedName name="VillkorAr1_134">'OrginalData'!$H$13</definedName>
    <definedName name="VillkorAr1_135">'OrginalData'!$H$14</definedName>
    <definedName name="VillkorAr1_136">'OrginalData'!$H$15</definedName>
    <definedName name="VillkorAr1_137">'OrginalData'!$H$16</definedName>
    <definedName name="VillkorAr1_138">'OrginalData'!$H$17</definedName>
    <definedName name="VillkorAr1_141">'OrginalData'!$H$18</definedName>
    <definedName name="VillkorAr1_142">'OrginalData'!$H$19</definedName>
    <definedName name="VillkorAr1_143">'OrginalData'!$H$20</definedName>
    <definedName name="VillkorAr1_144">'OrginalData'!$H$42</definedName>
    <definedName name="VillkorAr1_145">'OrginalData'!$H$21</definedName>
    <definedName name="VillkorAr1_147">'OrginalData'!$H$22</definedName>
    <definedName name="VillkorAr1_148">'OrginalData'!$H$43</definedName>
    <definedName name="VillkorAr1_149">'OrginalData'!$H$23</definedName>
    <definedName name="VillkorAr1_150">'OrginalData'!$H$24</definedName>
    <definedName name="VillkorAr1_151">'OrginalData'!$H$25</definedName>
    <definedName name="VillkorAr1_154">'OrginalData'!$H$26</definedName>
    <definedName name="VillkorAr1_161">'OrginalData'!$C$38</definedName>
    <definedName name="VillkorAr1_166">'OrginalData'!$H$27</definedName>
    <definedName name="VillkorAr1_168">'OrginalData'!$C$17</definedName>
    <definedName name="VillkorAr1_174">'OrginalData'!$H$28</definedName>
    <definedName name="VillkorAr1_175">'OrginalData'!$H$29</definedName>
    <definedName name="VillkorAr1_176">'OrginalData'!$H$30</definedName>
    <definedName name="VillkorAr1_177">'OrginalData'!$H$31</definedName>
    <definedName name="VillkorAr1_178">'OrginalData'!$H$32</definedName>
    <definedName name="VillkorAr1_192">'OrginalData'!$H$33</definedName>
    <definedName name="VillkorAr1_193">'OrginalData'!$H$34</definedName>
    <definedName name="VillkorAr1_195">'OrginalData'!$H$35</definedName>
    <definedName name="VillkorAr1_196">'OrginalData'!$H$36</definedName>
    <definedName name="VillkorAr1_201">'OrginalData'!$C$18</definedName>
    <definedName name="VillkorAr1_202">'OrginalData'!$H$37</definedName>
    <definedName name="VillkorAr1_203">'OrginalData'!$H$38</definedName>
    <definedName name="VillkorAr1_204">'OrginalData'!$C$39</definedName>
    <definedName name="VillkorAr1_205">'OrginalData'!$C$40</definedName>
    <definedName name="VillkorAr1_206">'OrginalData'!$C$41</definedName>
    <definedName name="VillkorAr1_207">'OrginalData'!$H$39</definedName>
    <definedName name="VillkorAr1_209">'OrginalData'!$H$40</definedName>
    <definedName name="VillkorAr1_83">'OrginalData'!$C$8</definedName>
    <definedName name="VillkorAr1_84">'OrginalData'!$C$9</definedName>
    <definedName name="VillkorAr1_85">'OrginalData'!$C$10</definedName>
    <definedName name="VillkorAr1_86">'OrginalData'!$C$11</definedName>
    <definedName name="VillkorAr1_87">'OrginalData'!$C$12</definedName>
    <definedName name="VillkorAr1_88">'OrginalData'!$C$13</definedName>
    <definedName name="VillkorAr1_92">'OrginalData'!$C$14</definedName>
    <definedName name="VillkorAr1_94">'OrginalData'!$C$15</definedName>
    <definedName name="VillkorAr1_95">'OrginalData'!$C$19</definedName>
    <definedName name="VillkorAr1_96">'OrginalData'!$C$20</definedName>
    <definedName name="VillkorAr2_">'OrginalData'!$I$44</definedName>
    <definedName name="VillkorAr2_100">'OrginalData'!$D$21</definedName>
    <definedName name="VillkorAr2_101">'OrginalData'!$D$22</definedName>
    <definedName name="VillkorAr2_104">'OrginalData'!$D$23</definedName>
    <definedName name="VillkorAr2_105">'OrginalData'!$D$24</definedName>
    <definedName name="VillkorAr2_106">'OrginalData'!$D$25</definedName>
    <definedName name="VillkorAr2_108">'OrginalData'!$D$26</definedName>
    <definedName name="VillkorAr2_109">'OrginalData'!$D$27</definedName>
    <definedName name="VillkorAr2_110">'OrginalData'!$D$28</definedName>
    <definedName name="VillkorAr2_111">'OrginalData'!$D$29</definedName>
    <definedName name="VillkorAr2_112">'OrginalData'!$D$30</definedName>
    <definedName name="VillkorAr2_114">'OrginalData'!$D$31</definedName>
    <definedName name="VillkorAr2_115">'OrginalData'!$D$32</definedName>
    <definedName name="VillkorAr2_117">'OrginalData'!$D$33</definedName>
    <definedName name="VillkorAr2_120">'OrginalData'!$D$34</definedName>
    <definedName name="VillkorAr2_121">'OrginalData'!$D$35</definedName>
    <definedName name="VillkorAr2_122">'OrginalData'!$D$36</definedName>
    <definedName name="VillkorAr2_123">'OrginalData'!$D$37</definedName>
    <definedName name="VillkorAr2_124">'OrginalData'!$D$16</definedName>
    <definedName name="VillkorAr2_126">'OrginalData'!$I$8</definedName>
    <definedName name="VillkorAr2_127">'OrginalData'!$I$9</definedName>
    <definedName name="VillkorAr2_128">'OrginalData'!$I$10</definedName>
    <definedName name="VillkorAr2_130">'OrginalData'!$I$41</definedName>
    <definedName name="VillkorAr2_132">'OrginalData'!$I$11</definedName>
    <definedName name="VillkorAr2_133">'OrginalData'!$I$12</definedName>
    <definedName name="VillkorAr2_134">'OrginalData'!$I$13</definedName>
    <definedName name="VillkorAr2_135">'OrginalData'!$I$14</definedName>
    <definedName name="VillkorAr2_136">'OrginalData'!$I$15</definedName>
    <definedName name="VillkorAr2_137">'OrginalData'!$I$16</definedName>
    <definedName name="VillkorAr2_138">'OrginalData'!$I$17</definedName>
    <definedName name="VillkorAr2_141">'OrginalData'!$I$18</definedName>
    <definedName name="VillkorAr2_142">'OrginalData'!$I$19</definedName>
    <definedName name="VillkorAr2_143">'OrginalData'!$I$20</definedName>
    <definedName name="VillkorAr2_144">'OrginalData'!$I$42</definedName>
    <definedName name="VillkorAr2_145">'OrginalData'!$I$21</definedName>
    <definedName name="VillkorAr2_147">'OrginalData'!$I$22</definedName>
    <definedName name="VillkorAr2_148">'OrginalData'!$I$43</definedName>
    <definedName name="VillkorAr2_149">'OrginalData'!$I$23</definedName>
    <definedName name="VillkorAr2_150">'OrginalData'!$I$24</definedName>
    <definedName name="VillkorAr2_151">'OrginalData'!$I$25</definedName>
    <definedName name="VillkorAr2_154">'OrginalData'!$I$26</definedName>
    <definedName name="VillkorAr2_161">'OrginalData'!$D$38</definedName>
    <definedName name="VillkorAr2_166">'OrginalData'!$I$27</definedName>
    <definedName name="VillkorAr2_168">'OrginalData'!$D$17</definedName>
    <definedName name="VillkorAr2_174">'OrginalData'!$I$28</definedName>
    <definedName name="VillkorAr2_175">'OrginalData'!$I$29</definedName>
    <definedName name="VillkorAr2_176">'OrginalData'!$I$30</definedName>
    <definedName name="VillkorAr2_177">'OrginalData'!$I$31</definedName>
    <definedName name="VillkorAr2_178">'OrginalData'!$I$32</definedName>
    <definedName name="VillkorAr2_192">'OrginalData'!$I$33</definedName>
    <definedName name="VillkorAr2_193">'OrginalData'!$I$34</definedName>
    <definedName name="VillkorAr2_195">'OrginalData'!$I$35</definedName>
    <definedName name="VillkorAr2_196">'OrginalData'!$I$36</definedName>
    <definedName name="VillkorAr2_201">'OrginalData'!$D$18</definedName>
    <definedName name="VillkorAr2_202">'OrginalData'!$I$37</definedName>
    <definedName name="VillkorAr2_203">'OrginalData'!$I$38</definedName>
    <definedName name="VillkorAr2_204">'OrginalData'!$D$39</definedName>
    <definedName name="VillkorAr2_205">'OrginalData'!$D$40</definedName>
    <definedName name="VillkorAr2_206">'OrginalData'!$D$41</definedName>
    <definedName name="VillkorAr2_207">'OrginalData'!$I$39</definedName>
    <definedName name="VillkorAr2_209">'OrginalData'!$I$40</definedName>
    <definedName name="VillkorAr2_83">'OrginalData'!$D$8</definedName>
    <definedName name="VillkorAr2_84">'OrginalData'!$D$9</definedName>
    <definedName name="VillkorAr2_85">'OrginalData'!$D$10</definedName>
    <definedName name="VillkorAr2_86">'OrginalData'!$D$11</definedName>
    <definedName name="VillkorAr2_87">'OrginalData'!$D$12</definedName>
    <definedName name="VillkorAr2_88">'OrginalData'!$D$13</definedName>
    <definedName name="VillkorAr2_92">'OrginalData'!$D$14</definedName>
    <definedName name="VillkorAr2_94">'OrginalData'!$D$15</definedName>
    <definedName name="VillkorAr2_95">'OrginalData'!$D$19</definedName>
    <definedName name="VillkorAr2_96">'OrginalData'!$D$20</definedName>
    <definedName name="ÅretsResultatFöregåendeÅr">'Balansräkning'!$I$64</definedName>
  </definedNames>
  <calcPr fullCalcOnLoad="1"/>
</workbook>
</file>

<file path=xl/comments5.xml><?xml version="1.0" encoding="utf-8"?>
<comments xmlns="http://schemas.openxmlformats.org/spreadsheetml/2006/main">
  <authors>
    <author>Mikael Sj?str?m</author>
  </authors>
  <commentList>
    <comment ref="B7" authorId="0">
      <text>
        <r>
          <rPr>
            <b/>
            <sz val="8"/>
            <rFont val="Tahoma"/>
            <family val="0"/>
          </rPr>
          <t xml:space="preserve">Här anges principerna för värdering av posterna i balansräkningen, t ex:
&gt; Byggnader inklusive avskrivningsmetod
&gt; Mark och markanläggningar
&gt; Inventarier inklusive avskrivningsmetod
&gt; Underhållsformer samt principer för avsättning
&gt; Fordringar och skulder
</t>
        </r>
        <r>
          <rPr>
            <sz val="8"/>
            <rFont val="Tahoma"/>
            <family val="0"/>
          </rPr>
          <t xml:space="preserve">
</t>
        </r>
      </text>
    </comment>
  </commentList>
</comments>
</file>

<file path=xl/sharedStrings.xml><?xml version="1.0" encoding="utf-8"?>
<sst xmlns="http://schemas.openxmlformats.org/spreadsheetml/2006/main" count="555" uniqueCount="447">
  <si>
    <t>Villkor</t>
  </si>
  <si>
    <t>ID</t>
  </si>
  <si>
    <t>År 1</t>
  </si>
  <si>
    <t>År 2</t>
  </si>
  <si>
    <t>BRF Namn</t>
  </si>
  <si>
    <t>BRF #</t>
  </si>
  <si>
    <t>Konto</t>
  </si>
  <si>
    <t>Namn</t>
  </si>
  <si>
    <t>Saldo År 1</t>
  </si>
  <si>
    <t>Saldo År 2</t>
  </si>
  <si>
    <t>Resultaträkning</t>
  </si>
  <si>
    <t>Fastighetskostnader</t>
  </si>
  <si>
    <t>Fastighetsskatt</t>
  </si>
  <si>
    <t>Avskrivningar</t>
  </si>
  <si>
    <t>Bruttoresultat</t>
  </si>
  <si>
    <t>Rörelseresultat</t>
  </si>
  <si>
    <t>Finansiella poster</t>
  </si>
  <si>
    <t>Räntekostnader och liknande resultatposter</t>
  </si>
  <si>
    <t>Resultat efter finansiella kostnader</t>
  </si>
  <si>
    <t>Årets resultat</t>
  </si>
  <si>
    <t>Balansräkning</t>
  </si>
  <si>
    <t>Tillgångar</t>
  </si>
  <si>
    <t>Anläggningstillgångar</t>
  </si>
  <si>
    <t>Materiella anläggningstillgångar</t>
  </si>
  <si>
    <t>Byggnader</t>
  </si>
  <si>
    <t>Pågående nyanläggningar och förskott</t>
  </si>
  <si>
    <t>Finansiella anläggningstillgångar</t>
  </si>
  <si>
    <t>Andra långfristiga fordringar</t>
  </si>
  <si>
    <t>Omsättningstillgångar</t>
  </si>
  <si>
    <t>Kortfristiga fordringar</t>
  </si>
  <si>
    <t>Avgifts-, hyres och andra kundfordringar</t>
  </si>
  <si>
    <t>Övriga fordringar</t>
  </si>
  <si>
    <t>Förutbetalda kostnader och upplupna intäkter</t>
  </si>
  <si>
    <t>Kortfristiga placeringar</t>
  </si>
  <si>
    <t>Kassa och bank</t>
  </si>
  <si>
    <t>Övrigt</t>
  </si>
  <si>
    <t>Eget kapital och skulder</t>
  </si>
  <si>
    <t>Bundet eget kapital</t>
  </si>
  <si>
    <t>Insatser</t>
  </si>
  <si>
    <t>Upplåtelseavgifter</t>
  </si>
  <si>
    <t>Fritt eget kapital</t>
  </si>
  <si>
    <t>Dispositionsfond</t>
  </si>
  <si>
    <t>Fond för yttre underhåll</t>
  </si>
  <si>
    <t>Fond för inre underhåll</t>
  </si>
  <si>
    <t>Skulder till kreditinstitut</t>
  </si>
  <si>
    <t>Leverantörsskulder</t>
  </si>
  <si>
    <t>Skatteskulder</t>
  </si>
  <si>
    <t>HSB Stockholm</t>
  </si>
  <si>
    <t>Noter</t>
  </si>
  <si>
    <t>Bokslut</t>
  </si>
  <si>
    <t>Kontosaldon</t>
  </si>
  <si>
    <t>Tomträttsavgäld</t>
  </si>
  <si>
    <t>Bokslutsdispositioner</t>
  </si>
  <si>
    <t>-</t>
  </si>
  <si>
    <t>Reservfond</t>
  </si>
  <si>
    <t>Jämförelsestörande poster</t>
  </si>
  <si>
    <t>Övriga intäkter</t>
  </si>
  <si>
    <t>Sophämtning</t>
  </si>
  <si>
    <t>Uppvärmning</t>
  </si>
  <si>
    <t>Vatten</t>
  </si>
  <si>
    <t>El</t>
  </si>
  <si>
    <t>Not 2</t>
  </si>
  <si>
    <t>Nettoomsättning</t>
  </si>
  <si>
    <t>Brutto</t>
  </si>
  <si>
    <t>Avsatt till inre fond</t>
  </si>
  <si>
    <t>Not 3</t>
  </si>
  <si>
    <t>Fastighetsskötsel och städ</t>
  </si>
  <si>
    <t>Reparationer</t>
  </si>
  <si>
    <t>Not 4</t>
  </si>
  <si>
    <t>Not 5</t>
  </si>
  <si>
    <t>Inventarier</t>
  </si>
  <si>
    <t>Not 6</t>
  </si>
  <si>
    <t>Not 8</t>
  </si>
  <si>
    <t>Not 9</t>
  </si>
  <si>
    <t>Not 11</t>
  </si>
  <si>
    <t>Not 12</t>
  </si>
  <si>
    <t>Not 15</t>
  </si>
  <si>
    <t>Årsavgifter</t>
  </si>
  <si>
    <t>Hyror</t>
  </si>
  <si>
    <t>Taxebundna utgifter och uppvärmning</t>
  </si>
  <si>
    <t>Övrig drift</t>
  </si>
  <si>
    <t>Ansvarsförbindelser</t>
  </si>
  <si>
    <t>Not 7</t>
  </si>
  <si>
    <t>Erhållna räntebidrag</t>
  </si>
  <si>
    <t>Skattefordringar</t>
  </si>
  <si>
    <t>Not 1</t>
  </si>
  <si>
    <t>Redovisnings- och värderingsprinciper</t>
  </si>
  <si>
    <t>Innevarande år</t>
  </si>
  <si>
    <t>Föregående år</t>
  </si>
  <si>
    <t>Arvoden, löner, andra ersättningar och sociala kostnader</t>
  </si>
  <si>
    <t>Sociala kostnader</t>
  </si>
  <si>
    <t>Förvaltningsarvoden</t>
  </si>
  <si>
    <t>Övriga avgifter</t>
  </si>
  <si>
    <t>Avgifts- och hyresbortfall</t>
  </si>
  <si>
    <t>Not 10</t>
  </si>
  <si>
    <t>Bostadsrätter</t>
  </si>
  <si>
    <t>Balanserat resultat</t>
  </si>
  <si>
    <t>Kapitaltillskott</t>
  </si>
  <si>
    <t>Anskaffnings-
värde</t>
  </si>
  <si>
    <t>Årets avskrivning</t>
  </si>
  <si>
    <t>Avskrivnings procent</t>
  </si>
  <si>
    <t>Bokfört värde</t>
  </si>
  <si>
    <t>Ackumulerade 
avskrivningar</t>
  </si>
  <si>
    <t>Xxxxxxxx</t>
  </si>
  <si>
    <t>Yyyyyyyy</t>
  </si>
  <si>
    <t>Taxeringsvärde</t>
  </si>
  <si>
    <t>Mark</t>
  </si>
  <si>
    <t>…………………….………</t>
  </si>
  <si>
    <t>Män</t>
  </si>
  <si>
    <t>Kvinnor</t>
  </si>
  <si>
    <t>Summa</t>
  </si>
  <si>
    <t>Löner och andra ersättningar</t>
  </si>
  <si>
    <t>Pensionskostnader och förpliktelser</t>
  </si>
  <si>
    <t>Löner och ersättningar</t>
  </si>
  <si>
    <t>Inkomstskatt</t>
  </si>
  <si>
    <t>Upplupna kostnader och förutbetalda intäkter</t>
  </si>
  <si>
    <t>Markanläggningar</t>
  </si>
  <si>
    <t>T ex avsättning utöver plan</t>
  </si>
  <si>
    <t>Föreningsavgäld</t>
  </si>
  <si>
    <t>Förändringar av anskaffningsvärde/ackumulerade avskrivningar såsom nyanskaffningar/ut-
rangeringar skall kompletteras med belopp</t>
  </si>
  <si>
    <t>Låneinstitut</t>
  </si>
  <si>
    <t>Räntesats</t>
  </si>
  <si>
    <t>Ränteändring</t>
  </si>
  <si>
    <t>Belopp</t>
  </si>
  <si>
    <t>Eget kapital</t>
  </si>
  <si>
    <t>Ingående balans</t>
  </si>
  <si>
    <t>Disposition enl.</t>
  </si>
  <si>
    <t>stämmobeslut</t>
  </si>
  <si>
    <t>Utgående balans</t>
  </si>
  <si>
    <t>Resultat från övriga värdepapper och fordringar
som är anläggningstillgångar</t>
  </si>
  <si>
    <t>Summa eget kapital</t>
  </si>
  <si>
    <t>Hyresförluster</t>
  </si>
  <si>
    <t>Personalkostnader</t>
  </si>
  <si>
    <t>Specialinlåning HSB Stockholm 2 år</t>
  </si>
  <si>
    <t>Specialinlåning HSB Stockholm 5 år</t>
  </si>
  <si>
    <t>Specialinlåning 3-mån HSB Stockholm</t>
  </si>
  <si>
    <t>Specialinlåning 6-mån HSB Stockholm</t>
  </si>
  <si>
    <t>Specialinlåning 12-mån HSB Stockholm</t>
  </si>
  <si>
    <t>Fastighetsförsäkring</t>
  </si>
  <si>
    <t>Kabel-TV</t>
  </si>
  <si>
    <t>Bostadslånepost/Underhållslånepost</t>
  </si>
  <si>
    <t>Övriga personalkostnader</t>
  </si>
  <si>
    <t>Byggnad</t>
  </si>
  <si>
    <t>Ombyggnad</t>
  </si>
  <si>
    <t>Planerat underhåll</t>
  </si>
  <si>
    <t>Summa Bundet eget kapital</t>
  </si>
  <si>
    <t>Summa materiella anläggningstillgångar</t>
  </si>
  <si>
    <t>Summa finansiella anläggningstillgångar</t>
  </si>
  <si>
    <t>Summa kassa och bank</t>
  </si>
  <si>
    <t>Summa kortfristiga fordringar</t>
  </si>
  <si>
    <t>Summa anläggningstillgångar</t>
  </si>
  <si>
    <t>Summa omsättningstillgångar</t>
  </si>
  <si>
    <t>Summa tillgångar</t>
  </si>
  <si>
    <t>Summa fritt eget kapital</t>
  </si>
  <si>
    <t>Summa eget kapital och skulder</t>
  </si>
  <si>
    <t>Summa fastighetskostnader</t>
  </si>
  <si>
    <t>Resultat från övriga värdepapper och fordringar som är anläggningstillgångar</t>
  </si>
  <si>
    <t>Ackumulerade avskrivningar</t>
  </si>
  <si>
    <t>Summa arvoden, löner, andra ersättningar och 
sociala kostnader</t>
  </si>
  <si>
    <t>Summa räntekostnader och liknande resultatposter</t>
  </si>
  <si>
    <t>Summa övriga fordringar</t>
  </si>
  <si>
    <t>Summa förutbetalda kostnader och upplupna intäkter</t>
  </si>
  <si>
    <t>Summa skulder till kreditinstitut</t>
  </si>
  <si>
    <t>Summa upplupna kostnader och förutbetalda intäkter</t>
  </si>
  <si>
    <t>Poster inom linjen</t>
  </si>
  <si>
    <t>Förskottsbetalda avgifter och hyror</t>
  </si>
  <si>
    <t>Summa finansiella poster</t>
  </si>
  <si>
    <t>Arvode förtroendevalda</t>
  </si>
  <si>
    <t>Summa kortfristiga placeringar</t>
  </si>
  <si>
    <t>Allkonto</t>
  </si>
  <si>
    <t>Specialinlåning</t>
  </si>
  <si>
    <t>Övriga ränteintäkter</t>
  </si>
  <si>
    <t>Revisorer</t>
  </si>
  <si>
    <t>Föreningsvald</t>
  </si>
  <si>
    <t>Nybyggnad</t>
  </si>
  <si>
    <t>Drift</t>
  </si>
  <si>
    <t>Ränteintäkter och liknande resultatposter</t>
  </si>
  <si>
    <t>Byggnader och Mark</t>
  </si>
  <si>
    <t>Avräkningskonto HSB Stockholm</t>
  </si>
  <si>
    <t>Skulder</t>
  </si>
  <si>
    <t>Övriga skulder</t>
  </si>
  <si>
    <t>Summa skulder</t>
  </si>
  <si>
    <t>Styrelsen</t>
  </si>
  <si>
    <t>Räntekostnader till kreditinstitut</t>
  </si>
  <si>
    <t>Räntekostnader övriga</t>
  </si>
  <si>
    <t>Andra långfristiga värdepappersinnehav</t>
  </si>
  <si>
    <t>Andelar i HSB Stockholm</t>
  </si>
  <si>
    <t>Övriga kortfristiga placeringar</t>
  </si>
  <si>
    <t>Avskrivning på byggnader</t>
  </si>
  <si>
    <t>Förmögenhetsvärde</t>
  </si>
  <si>
    <t>Föreningens gemensamma förmögenhetsvärde fördelas efter bostadsrättens fördelningstal. Detta värde tas upp i respektive medlems deklaration.</t>
  </si>
  <si>
    <t>Övriga förtroendevalda/anställda</t>
  </si>
  <si>
    <t>Bank</t>
  </si>
  <si>
    <t>Upplåtelse-
avgifter</t>
  </si>
  <si>
    <t>Kassaflödesanalys</t>
  </si>
  <si>
    <t>Den löpande verksamheten</t>
  </si>
  <si>
    <t>Resultat efter finansiella poster</t>
  </si>
  <si>
    <t>Justeringar för poster som inte ingår i kassaflödet</t>
  </si>
  <si>
    <t>Nedskrivningar</t>
  </si>
  <si>
    <t>Avsättning till yttre fond</t>
  </si>
  <si>
    <t>Lyft från yttre fond</t>
  </si>
  <si>
    <t>Ökning (-) / Minskning (+) av lager</t>
  </si>
  <si>
    <t>Ökning (-) / Minskning (+) av kortfristiga fordringar</t>
  </si>
  <si>
    <t>Ökning (+) / Minskning (-) av kortfristiga skulder</t>
  </si>
  <si>
    <t>Investeringsverksamheten</t>
  </si>
  <si>
    <t>Investeringar i fastigheter</t>
  </si>
  <si>
    <t>Investeringar i maskiner/inventarier</t>
  </si>
  <si>
    <t>Investeringar (-) /försäljningar (+) av finansiella anläggningstillgångar</t>
  </si>
  <si>
    <t>Kassaflöde från investeringsverksamheten</t>
  </si>
  <si>
    <t>Finansieringsverksamheten</t>
  </si>
  <si>
    <t xml:space="preserve">Ökning(+) / Minskning (-) av långfristiga skulder </t>
  </si>
  <si>
    <t>Inbetalda insatser</t>
  </si>
  <si>
    <t>Kassaflöde från finansieringsverksamheten</t>
  </si>
  <si>
    <t>Årets kassaflöde</t>
  </si>
  <si>
    <t>Likvida medel vid årets början</t>
  </si>
  <si>
    <t>Likvida medel vid årets slut</t>
  </si>
  <si>
    <t>Kassaflöde från den löpande verksamheten före förändringar av rörelsekapital</t>
  </si>
  <si>
    <t>Kassaflöde från förändringar i rörelsekapitalet</t>
  </si>
  <si>
    <t>Kassaflöde från den löpande verksamheten</t>
  </si>
  <si>
    <t>Revisionsberättelse</t>
  </si>
  <si>
    <t>Revisionen har utförts i enlighet med god revisionssed i Sverige. Det innebär att vi planerat och genomfört revisionen för att med hög men inte absolut säkerhet försäkra oss om att årsredovisningen inte innehåller väsentliga felaktigheter. En revision innefattar att granska ett urval av underlagen för belopp och annan information i räkenskapshandlingarna. I en revision ingår också att pröva redovisningsprinciperna och styrelsens tillämpning av dem samt att bedöma de betydelsefulla uppskattningar som styrelsen gjort när de upprättat årsredovisningen samt att utvärdera den samlade informationen i årsredovisningen. Som underlag för vårt uttalande om ansvarsfrihet har vi granskat väsentliga beslut, åtgärder och förhållanden i föreningen för att kunna bedöma om någon styrelseledamot är ersättningsskyldig mot föreningen. Vi har även granskat om någon styrelseledamot på annat sätt handlat i strid med bostadsrättslagen, årsredovisningslagen eller föreningens stadgar. Vi anser att vår revision ger oss rimlig grund för våra uttalanden nedan.</t>
  </si>
  <si>
    <t>Av föreningen vald revisor</t>
  </si>
  <si>
    <t>Det är styrelsen som har ansvaret för räkenskapshandlingarna och förvaltningen och för att årsredovisningslagen tillämpas vid upprättandet av årsredovisningen. Vårt ansvar är att uttala oss om årsredovisningen och förvaltningen på grundval av vår revision.</t>
  </si>
  <si>
    <t>Summa drift</t>
  </si>
  <si>
    <t>Summa ränteintäkter och liknande resultatposter</t>
  </si>
  <si>
    <t>Belopp anges i kronor om inte annat anges. 
Föreningen tillämpar årsredovisningslagen och bokföringsnämndens allmänna råd. 
Tillgångar och skulder har värderats till anskaffningsvärden om inte annat anges nedan.
Fordringar har upptagits till de belopp varmed de beräknas inflyta.</t>
  </si>
  <si>
    <t>Årsredovisningen har upprättats i enlighet med årsredovisningslagen och ger en rättvisande bild av föreningens resultat och ställning i enlighet med god redovisningssed i Sverige. Förvaltningsberättelsen är förenlig med årsredovisningens övriga delar.</t>
  </si>
  <si>
    <t xml:space="preserve">Vi tillstyrker att föreningsstämman fastställer resultaträkningen och balansräkningen för föreningen, behandlar resultatet enligt förslaget i förvaltningsberättelsen och beviljar styrelsens ledamöter ansvarsfrihet för räkenskapsåret.
Stockholm den    /     2008 </t>
  </si>
  <si>
    <t>Ställda säkerheter</t>
  </si>
  <si>
    <t>Fastighetsinteckningar ställda för skulder till kreditinstitut</t>
  </si>
  <si>
    <t>Fastighetsinteckningar totalt uttagna</t>
  </si>
  <si>
    <t>Reservering för framtida underhåll av föreningens fastigheter sker genom vinstdisposition på basis av föreningens underhållsplan. Minimiavsättning regleras i stadgarna.</t>
  </si>
  <si>
    <t>Avskrivning sker planenligt med en avskrivningstid baserat på inventariernas livslängd cika 5 år.</t>
  </si>
  <si>
    <t>Av HSB Riksförbund utsedd revisor</t>
  </si>
  <si>
    <t>I en bostadsrättsförening inkomstbeskattas kapitalintäkter, såsom ränteintäkter och utdelningar, samt i förekommande fall verksamheter som inte avser fastighetsförvaltning. Efter avräkning av eventuellt befintligt skattemässigt underskottsavdrag sker beskattning med 28 procent.
Föreningens skattemässig underskott uppgick vid utgången av räkenskapsåret till xxxxx, en minskning med xxxx jämfört med föregående år. Föreningen har valt att i balansräkningen inte redovisa uppskjuten skattefordran hänförlig till underskottsavdraget, jmf BFN AR 2001:1. Den uppskjutna skattefordran som skulle ha kunnat redovisas bedöms inte som väsentlig och har enligt vår bedömning ingen inverkan på lagens krav om en en rättvisande bild.</t>
  </si>
  <si>
    <t>BoRevision AB</t>
  </si>
  <si>
    <t>Värdeminskning, byggnader</t>
  </si>
  <si>
    <t>Maskiner och inventarier</t>
  </si>
  <si>
    <t>Värdeminskning, maskiner och inventarier</t>
  </si>
  <si>
    <t>Andelar HSB Stockholm</t>
  </si>
  <si>
    <t>Regleringskonto avg o hyror</t>
  </si>
  <si>
    <t>Hyres- och avgiftsfordringar</t>
  </si>
  <si>
    <t>Kundfordringar</t>
  </si>
  <si>
    <t>Skattekonto, skattered o ränta</t>
  </si>
  <si>
    <t>Förutbetalda kostnader</t>
  </si>
  <si>
    <t>Upplupna intäkter</t>
  </si>
  <si>
    <t>HSB allkonto</t>
  </si>
  <si>
    <t>Upplåtelseavgifter (BRF)</t>
  </si>
  <si>
    <t>Balanserad vinst eller förlust</t>
  </si>
  <si>
    <t>Långfristiga lån; fastighetslån och övriga lån</t>
  </si>
  <si>
    <t>Depositioner</t>
  </si>
  <si>
    <t>Lånereskontra, lån</t>
  </si>
  <si>
    <t>Regleringskonto, fastighetslån</t>
  </si>
  <si>
    <t>Leverantörsskulder, bokslut</t>
  </si>
  <si>
    <t>Förskott insats</t>
  </si>
  <si>
    <t>Utgående moms, frivillig</t>
  </si>
  <si>
    <t>Ingående moms frivillig</t>
  </si>
  <si>
    <t>Redovisningskonto för moms</t>
  </si>
  <si>
    <t>Personalens källskatt</t>
  </si>
  <si>
    <t>Regleringskonto, löner</t>
  </si>
  <si>
    <t>Regleringskonto, reversringar o övrigt</t>
  </si>
  <si>
    <t>Upplupna arbetsgivareavg</t>
  </si>
  <si>
    <t>Förutbetalda hyror och avgifter</t>
  </si>
  <si>
    <t>Periodiseringkonto, kostnader</t>
  </si>
  <si>
    <t>Upplupna kostnader</t>
  </si>
  <si>
    <t>Hyresintäkter bostäder</t>
  </si>
  <si>
    <t>Hyresintäkter lokaler</t>
  </si>
  <si>
    <t>Hyresintäkter lokaler, momsreg</t>
  </si>
  <si>
    <t>Årsavgifter bostäder</t>
  </si>
  <si>
    <t>Hyror, lokaler</t>
  </si>
  <si>
    <t>Hyres- o avgiftsförluster</t>
  </si>
  <si>
    <t>Fastighetsskatt,  momsreg</t>
  </si>
  <si>
    <t>Hyror gästrum</t>
  </si>
  <si>
    <t>Överlåtelseavgift</t>
  </si>
  <si>
    <t>Pantförskrivningsavgifter</t>
  </si>
  <si>
    <t>Övriga rörelseintäkter</t>
  </si>
  <si>
    <t>Fastighetsskötsel byggnad</t>
  </si>
  <si>
    <t>Städ</t>
  </si>
  <si>
    <t>Städ extra</t>
  </si>
  <si>
    <t>Snörenhållning</t>
  </si>
  <si>
    <t>Löp underhåll, byggnad</t>
  </si>
  <si>
    <t>Löp underhåll, tvättutrustning</t>
  </si>
  <si>
    <t>Löp underhåll, vvs sanitet</t>
  </si>
  <si>
    <t>Löp underhåll, värme</t>
  </si>
  <si>
    <t>Löp underhåll, ventilation</t>
  </si>
  <si>
    <t>Löp underhåll, el</t>
  </si>
  <si>
    <t>Löp underhåll, hiss</t>
  </si>
  <si>
    <t>Löp underhåll, tak</t>
  </si>
  <si>
    <t>Löp underhåll, markytor</t>
  </si>
  <si>
    <t>Löp underhåll, hyreslokal</t>
  </si>
  <si>
    <t>Löp underhåll, jourutr montör</t>
  </si>
  <si>
    <t>Vattenskador</t>
  </si>
  <si>
    <t>El, fastighet</t>
  </si>
  <si>
    <t>Fjärrvärme</t>
  </si>
  <si>
    <t>Grovsopor</t>
  </si>
  <si>
    <t>Fastighetsförsäkringar</t>
  </si>
  <si>
    <t>Bevakningskostnader</t>
  </si>
  <si>
    <t>Kabel TV</t>
  </si>
  <si>
    <t>Arvode för gemensamma förvaltn avtal</t>
  </si>
  <si>
    <t>Ekonomiförvaltning</t>
  </si>
  <si>
    <t>Övriga köpta tjänster</t>
  </si>
  <si>
    <t>Förbrukningsinventarier</t>
  </si>
  <si>
    <t>Varuinköp för förbrukning</t>
  </si>
  <si>
    <t>Möteskostnader stämma</t>
  </si>
  <si>
    <t>Möteskostnader styrelse</t>
  </si>
  <si>
    <t>Föreningsverksamhet</t>
  </si>
  <si>
    <t>Kostnad för årsredovisning</t>
  </si>
  <si>
    <t>Gåvor, ej avdragsgilla</t>
  </si>
  <si>
    <t>Kontorsmateriel</t>
  </si>
  <si>
    <t>Trycksaker</t>
  </si>
  <si>
    <t>Kopiering</t>
  </si>
  <si>
    <t>Telefon</t>
  </si>
  <si>
    <t>Post</t>
  </si>
  <si>
    <t>Betalningsföreläggande</t>
  </si>
  <si>
    <t>Juristarvode</t>
  </si>
  <si>
    <t>Pantavgift</t>
  </si>
  <si>
    <t>Revision</t>
  </si>
  <si>
    <t>Reg avgift, Bolagsverket</t>
  </si>
  <si>
    <t>Konsultkostnad</t>
  </si>
  <si>
    <t>Medlemsavgifter HSB</t>
  </si>
  <si>
    <t>Löner extra anställda, kollektivanställda</t>
  </si>
  <si>
    <t>Arvoden förtroendevalda</t>
  </si>
  <si>
    <t>Arvoden, revisorer</t>
  </si>
  <si>
    <t>Lagstadgade arbetsgivaravgifter</t>
  </si>
  <si>
    <t>Utbildning, förtroendevalda</t>
  </si>
  <si>
    <t>Avskrivningar på byggnader</t>
  </si>
  <si>
    <t>Ränteintäkter från HSB allkonto</t>
  </si>
  <si>
    <t>Skattefria ränteintäkter</t>
  </si>
  <si>
    <t>Räntekostnader HSB allkonto</t>
  </si>
  <si>
    <t>Räntekostnader fastighetslån</t>
  </si>
  <si>
    <t>Avsättning till yttre underhåll</t>
  </si>
  <si>
    <t>Skatter</t>
  </si>
  <si>
    <t>Justering inkomstskatt, föreg år</t>
  </si>
  <si>
    <t>Definitivt IB ej klart</t>
  </si>
  <si>
    <t>Övriga kortfristiga fordringar</t>
  </si>
  <si>
    <t>Hyresavdrag</t>
  </si>
  <si>
    <t>Öresutjämning</t>
  </si>
  <si>
    <t>Fastighetsskötsel mark</t>
  </si>
  <si>
    <t>Löp underhåll, sop- / miljöanläggning</t>
  </si>
  <si>
    <t>Löp underhåll, övrigt</t>
  </si>
  <si>
    <t>Skattereduktion (byggnader)</t>
  </si>
  <si>
    <t>Per underhåll, sop- / miljöanläggning</t>
  </si>
  <si>
    <t>Per underhåll, bygg vvs</t>
  </si>
  <si>
    <t>Per underhåll, ventilation</t>
  </si>
  <si>
    <t>Per underhåll, markytor</t>
  </si>
  <si>
    <t>Övriga externa tjänster</t>
  </si>
  <si>
    <t>Avskrivningar på maskiner och inventarier</t>
  </si>
  <si>
    <t>Fastighetskostnader - Drift</t>
  </si>
  <si>
    <t>Fastighetskostnader - Underhåll</t>
  </si>
  <si>
    <t>Fastighetskostnader - Fastighetsskatt</t>
  </si>
  <si>
    <t>Fastighetskostnader - Tomträttsavgäld</t>
  </si>
  <si>
    <t>Fastighetskostnader - Avskrivningar</t>
  </si>
  <si>
    <t>Finansiella poster - Övriga ränteintäckter och liknande resultatposter</t>
  </si>
  <si>
    <t>Skatt på årets resultat</t>
  </si>
  <si>
    <t>Finansiella poster - Räntekostnader och liknande resultatposter</t>
  </si>
  <si>
    <t>Materiella anläggningstillgångar - Byggnader</t>
  </si>
  <si>
    <t>Materiella anläggningstillgångar - Maskiner och inventarier</t>
  </si>
  <si>
    <t>Finansiella anläggningstillgångar  - Andelar</t>
  </si>
  <si>
    <t>Kortfristiga fordringar - Avgifts-, hyres och andra kundfordringar</t>
  </si>
  <si>
    <t>Kortfristiga fordringar - Övriga fordringar</t>
  </si>
  <si>
    <t>Kortfristiga fordringar- Förutbetalda kostnader och upplupna intäkter</t>
  </si>
  <si>
    <t>Avräkningskonto HSB</t>
  </si>
  <si>
    <t>Övrigt Kassa &amp; Bank</t>
  </si>
  <si>
    <t>Bundet eget kapital - Insatser</t>
  </si>
  <si>
    <t>Bundet eget kapital - Upplåtelseavgifter</t>
  </si>
  <si>
    <t>Fritt eget kapital - Balanserad vinst/förlust</t>
  </si>
  <si>
    <t>Fritt eget kapital - Årets resultat</t>
  </si>
  <si>
    <t>Avsättning till underhållsfonder - Yttre underhåll</t>
  </si>
  <si>
    <t>Långfristiga skulder - Skulder till kreditinstitut</t>
  </si>
  <si>
    <t>Kortfristiga skulder - Leverantörsskulder</t>
  </si>
  <si>
    <t>Kortfristiga skulder - Skatteskulder</t>
  </si>
  <si>
    <t>Kortfristiga skulder - Övriga skulder</t>
  </si>
  <si>
    <t>Kortfristiga skulder - Upplupna kostnader och förutbetalda intäkter</t>
  </si>
  <si>
    <t>Materiella anläggningstillgångar - Byggnader och Mark</t>
  </si>
  <si>
    <t>Skulder - Skulder till kreditinstitut</t>
  </si>
  <si>
    <t>Skulder - Övriga skulder</t>
  </si>
  <si>
    <t>Not 1 - Nettoomsättning - Årsavgifter</t>
  </si>
  <si>
    <t>Not 1 - Nettoomsättning - Hyror</t>
  </si>
  <si>
    <t>Not 1 - Nettoomsättning - Övriga intäkter</t>
  </si>
  <si>
    <t>Not 2 - Drift och löpande underhåll - Fastighetsskötsel och städ</t>
  </si>
  <si>
    <t>Not 2 - Drift och löpande underhåll - Reparationer</t>
  </si>
  <si>
    <t>Not 2 - Drift och löpande underhåll - Taxebundna utgifter och uppvärmning</t>
  </si>
  <si>
    <t>Not 2 - Drift och löpande underhåll - El</t>
  </si>
  <si>
    <t>Not 2 - Drift och löpande underhåll - Uppvärmning</t>
  </si>
  <si>
    <t>Not 2 - Drift och löpande underhåll - Vatten</t>
  </si>
  <si>
    <t>Not 2 - Drift och löpande underhåll - Sophämtning</t>
  </si>
  <si>
    <t>Not 2 - Drift och löpande underhåll - Övriga avgifter</t>
  </si>
  <si>
    <t>Not 2 - Drift och löpande underhåll - Förvaltningsarvoden</t>
  </si>
  <si>
    <t>Not 2 - Drift och löpande underhåll - Övrigt drift</t>
  </si>
  <si>
    <t>Not 3 - Planerat underhåll - Avsättning till fond för yttre underhåll</t>
  </si>
  <si>
    <t>Not 4 - Avskrivningar - Byggnader</t>
  </si>
  <si>
    <t>Not 8 - Räntekostnader och liknande resultatposter - Räntekostnader långfristiga skulder</t>
  </si>
  <si>
    <t>Not 8 - Räntekostnader och liknande resultatposter - Räntekostnader kortfristiga skulder</t>
  </si>
  <si>
    <t>Not 8 - Räntekostnader och liknande resultatposter - Erhållna räntebidrag</t>
  </si>
  <si>
    <t>Not 15 - Övriga fordringar - Övriga fordringar</t>
  </si>
  <si>
    <t>Not 1 - Nettoomsättning - Hyresförluster</t>
  </si>
  <si>
    <t>Not 2 - Drift och löpande underhåll - Fastighetsförsäkring</t>
  </si>
  <si>
    <t>Not 2 - Drift och löpande underhåll - Kabel-TV</t>
  </si>
  <si>
    <t>Not 9 - Byggnader - Anskaffningsvärde</t>
  </si>
  <si>
    <t>Not 9 - Byggnader - Årets avskrivning</t>
  </si>
  <si>
    <t>Not 9 - Byggnader - Ackum. Avskrivning</t>
  </si>
  <si>
    <t>Not 22 - Övriga kortfristiga skulder - Förskottsbetalda avgifter och hyror</t>
  </si>
  <si>
    <t>Not 7 - Övr ränteint och likn. res.-poster - Allkonto</t>
  </si>
  <si>
    <t>Not 7 - Övr ränteint och likn. res.-poster - Övrig ränt int.</t>
  </si>
  <si>
    <t>Arvoden - Revisorer</t>
  </si>
  <si>
    <t>Not 2 - Drift och löpande underhåll - Personalkostnader</t>
  </si>
  <si>
    <t>Not 8 -  Inkomsskatt - Inkomstskatt</t>
  </si>
  <si>
    <t>Not 7 - Räntekostnader och liknande resultatposter - Räntekostnader övriga</t>
  </si>
  <si>
    <t>Arvoden - Föreningsvald revisor</t>
  </si>
  <si>
    <t>Not 1 - Nettoomsättning - Hyresbortfall</t>
  </si>
  <si>
    <t>Not 3 - Planerat underhåll - Underhåll</t>
  </si>
  <si>
    <t>Not 4 - Avskrivningar - Inventarier</t>
  </si>
  <si>
    <t>Munken</t>
  </si>
  <si>
    <t>Inga</t>
  </si>
  <si>
    <t xml:space="preserve">Avskrivning sker enligt en 100-årig annuitetsplan och grundar sig på anläggningens anskaffningsvärde och beräknad ekonomisk livslängd. 
</t>
  </si>
  <si>
    <t>Föreningen har ingen anställd personal</t>
  </si>
  <si>
    <t>Utbildning</t>
  </si>
  <si>
    <t>Skattekonto</t>
  </si>
  <si>
    <t>Upplupet räntebidrag</t>
  </si>
  <si>
    <t>Ekonomisk förvaltning</t>
  </si>
  <si>
    <t>Nordea</t>
  </si>
  <si>
    <t>Rörligt</t>
  </si>
  <si>
    <t>Med nuvarande amorteringstakt blir amorteringen ca 574 000 kr per år de kommande fem åren.</t>
  </si>
  <si>
    <t>Underhålls-         fond</t>
  </si>
  <si>
    <t>Moms</t>
  </si>
  <si>
    <t>Deposition lokal</t>
  </si>
  <si>
    <t>Förskott insats/upplåtelseavgift vindsombyggnad</t>
  </si>
  <si>
    <t xml:space="preserve">Revision </t>
  </si>
  <si>
    <t>Ränta fastighetslån</t>
  </si>
  <si>
    <t>Revisorsarvode 2005</t>
  </si>
  <si>
    <t>Styrelsearvode 2007</t>
  </si>
  <si>
    <t>Till föreningsstämman i HSB Bostadsrättsförening Munken nr 250 i Stockholm</t>
  </si>
  <si>
    <t>Organisationsnummer 716417-8027</t>
  </si>
  <si>
    <t>Vi har granskat årsredovisningen och bokföringen samt styrelsens förvaltning i HSB Bostadsrättsförening Munken nr 250 i Stockholm  för räkenskapsåret 2007-01-01 - 2007-12-31.</t>
  </si>
  <si>
    <t>Vatten*</t>
  </si>
  <si>
    <t>I beloppet för 2006 ingår en återbetalning från Stockholm Vatten kr 32 650 avseende 2005.</t>
  </si>
  <si>
    <t>*</t>
  </si>
  <si>
    <t>Revisorsarvode 2007</t>
  </si>
  <si>
    <t>Arbetsgivaravgift arvoden 2007</t>
  </si>
  <si>
    <t>Tony Lydén</t>
  </si>
  <si>
    <t>Nils-Göran Andersson</t>
  </si>
  <si>
    <t xml:space="preserve">  Kristina Menyes</t>
  </si>
  <si>
    <t>Ricard Grundwall</t>
  </si>
  <si>
    <t>Johan Nyman</t>
  </si>
  <si>
    <t>Thomas Odelius</t>
  </si>
  <si>
    <t xml:space="preserve">   Thomas Carlsson</t>
  </si>
  <si>
    <t>Berit Magaard</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</si>
</sst>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mm/dd/yy"/>
    <numFmt numFmtId="171" formatCode="mmmm\ d\,\ yyyy"/>
    <numFmt numFmtId="172" formatCode="&quot;$&quot;#,##0_);\(&quot;$&quot;#,##0\)"/>
    <numFmt numFmtId="173" formatCode="&quot;$&quot;#,##0_);[Red]\(&quot;$&quot;#,##0\)"/>
    <numFmt numFmtId="174" formatCode="&quot;$&quot;#,##0.00_);\(&quot;$&quot;#,##0.00\)"/>
    <numFmt numFmtId="175" formatCode="&quot;$&quot;#,##0.00_);[Red]\(&quot;$&quot;#,##0.00\)"/>
    <numFmt numFmtId="176" formatCode="&quot;Ja&quot;;&quot;Ja&quot;;&quot;Nej&quot;"/>
    <numFmt numFmtId="177" formatCode="&quot;Sant&quot;;&quot;Sant&quot;;&quot;Falskt&quot;"/>
    <numFmt numFmtId="178" formatCode="&quot;På&quot;;&quot;På&quot;;&quot;Av&quot;"/>
    <numFmt numFmtId="179" formatCode="[$€-2]\ #,##0.00_);[Red]\([$€-2]\ #,##0.00\)"/>
  </numFmts>
  <fonts count="69">
    <font>
      <sz val="12"/>
      <name val="Times New Roman"/>
      <family val="1"/>
    </font>
    <font>
      <b/>
      <sz val="10"/>
      <name val="Arial"/>
      <family val="0"/>
    </font>
    <font>
      <i/>
      <sz val="10"/>
      <name val="Arial"/>
      <family val="0"/>
    </font>
    <font>
      <b/>
      <i/>
      <sz val="10"/>
      <name val="Arial"/>
      <family val="0"/>
    </font>
    <font>
      <sz val="10"/>
      <name val="Arial"/>
      <family val="0"/>
    </font>
    <font>
      <sz val="10"/>
      <color indexed="8"/>
      <name val="Arial"/>
      <family val="0"/>
    </font>
    <font>
      <sz val="10"/>
      <color indexed="8"/>
      <name val="MS Sans Serif"/>
      <family val="0"/>
    </font>
    <font>
      <b/>
      <sz val="12"/>
      <name val="Arial"/>
      <family val="2"/>
    </font>
    <font>
      <sz val="26"/>
      <color indexed="32"/>
      <name val="Times New Roman"/>
      <family val="1"/>
    </font>
    <font>
      <b/>
      <sz val="26"/>
      <color indexed="32"/>
      <name val="Times New Roman"/>
      <family val="1"/>
    </font>
    <font>
      <sz val="10"/>
      <color indexed="32"/>
      <name val="Arial"/>
      <family val="0"/>
    </font>
    <font>
      <sz val="12"/>
      <color indexed="32"/>
      <name val="Times New Roman"/>
      <family val="1"/>
    </font>
    <font>
      <b/>
      <i/>
      <sz val="28"/>
      <color indexed="32"/>
      <name val="Times New Roman"/>
      <family val="1"/>
    </font>
    <font>
      <b/>
      <sz val="12"/>
      <name val="Times New Roman"/>
      <family val="1"/>
    </font>
    <font>
      <i/>
      <sz val="12"/>
      <name val="Times New Roman"/>
      <family val="1"/>
    </font>
    <font>
      <sz val="10"/>
      <name val="Times New Roman"/>
      <family val="1"/>
    </font>
    <font>
      <b/>
      <sz val="20"/>
      <color indexed="32"/>
      <name val="Times New Roman"/>
      <family val="1"/>
    </font>
    <font>
      <sz val="10"/>
      <name val="MS Sans"/>
      <family val="0"/>
    </font>
    <font>
      <b/>
      <sz val="14"/>
      <name val="Times New Roman"/>
      <family val="0"/>
    </font>
    <font>
      <sz val="12"/>
      <name val="Arial"/>
      <family val="0"/>
    </font>
    <font>
      <b/>
      <i/>
      <sz val="12"/>
      <name val="Times New Roman"/>
      <family val="1"/>
    </font>
    <font>
      <b/>
      <sz val="8"/>
      <name val="Times New Roman"/>
      <family val="1"/>
    </font>
    <font>
      <b/>
      <i/>
      <sz val="8"/>
      <name val="Times New Roman"/>
      <family val="1"/>
    </font>
    <font>
      <b/>
      <sz val="8"/>
      <name val="Arial"/>
      <family val="0"/>
    </font>
    <font>
      <b/>
      <sz val="10"/>
      <name val="Times New Roman"/>
      <family val="1"/>
    </font>
    <font>
      <sz val="10"/>
      <color indexed="8"/>
      <name val="Times New Roman"/>
      <family val="1"/>
    </font>
    <font>
      <i/>
      <sz val="10"/>
      <name val="Times New Roman"/>
      <family val="1"/>
    </font>
    <font>
      <b/>
      <i/>
      <sz val="10"/>
      <name val="Times New Roman"/>
      <family val="1"/>
    </font>
    <font>
      <sz val="11"/>
      <name val="Times New Roman"/>
      <family val="1"/>
    </font>
    <font>
      <sz val="14"/>
      <name val="Times New Roman"/>
      <family val="1"/>
    </font>
    <font>
      <b/>
      <sz val="9"/>
      <name val="Times New Roman"/>
      <family val="1"/>
    </font>
    <font>
      <sz val="8"/>
      <name val="Tahoma"/>
      <family val="0"/>
    </font>
    <font>
      <b/>
      <sz val="8"/>
      <name val="Tahoma"/>
      <family val="0"/>
    </font>
    <font>
      <u val="single"/>
      <sz val="12"/>
      <color indexed="12"/>
      <name val="Times New Roman"/>
      <family val="1"/>
    </font>
    <font>
      <u val="single"/>
      <sz val="12"/>
      <color indexed="36"/>
      <name val="Times New Roman"/>
      <family val="1"/>
    </font>
    <font>
      <sz val="8"/>
      <name val="Times New Roman"/>
      <family val="1"/>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0" fillId="20" borderId="1" applyNumberFormat="0" applyFont="0" applyAlignment="0" applyProtection="0"/>
    <xf numFmtId="0" fontId="54" fillId="21" borderId="2" applyNumberFormat="0" applyAlignment="0" applyProtection="0"/>
    <xf numFmtId="0" fontId="55" fillId="22" borderId="0" applyNumberFormat="0" applyBorder="0" applyAlignment="0" applyProtection="0"/>
    <xf numFmtId="0" fontId="56"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34" fillId="0" borderId="0" applyNumberForma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0" fontId="17" fillId="0" borderId="0">
      <alignment/>
      <protection/>
    </xf>
    <xf numFmtId="0" fontId="6" fillId="0" borderId="0">
      <alignment/>
      <protection/>
    </xf>
    <xf numFmtId="0" fontId="4" fillId="0" borderId="0">
      <alignment/>
      <protection/>
    </xf>
    <xf numFmtId="9" fontId="4" fillId="0" borderId="0" applyFon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67" fillId="21" borderId="9" applyNumberFormat="0" applyAlignment="0" applyProtection="0"/>
    <xf numFmtId="44" fontId="4" fillId="0" borderId="0" applyFont="0" applyFill="0" applyBorder="0" applyAlignment="0" applyProtection="0"/>
    <xf numFmtId="42" fontId="4" fillId="0" borderId="0" applyFont="0" applyFill="0" applyBorder="0" applyAlignment="0" applyProtection="0"/>
    <xf numFmtId="0" fontId="68" fillId="0" borderId="0" applyNumberFormat="0" applyFill="0" applyBorder="0" applyAlignment="0" applyProtection="0"/>
  </cellStyleXfs>
  <cellXfs count="295">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33" borderId="12" xfId="0" applyFill="1" applyBorder="1" applyAlignment="1">
      <alignment/>
    </xf>
    <xf numFmtId="0" fontId="5" fillId="0" borderId="11" xfId="51" applyFont="1" applyFill="1" applyBorder="1" applyAlignment="1">
      <alignment horizontal="left" wrapText="1"/>
      <protection/>
    </xf>
    <xf numFmtId="0" fontId="0" fillId="0" borderId="13" xfId="0" applyBorder="1" applyAlignment="1">
      <alignment/>
    </xf>
    <xf numFmtId="0" fontId="0" fillId="0" borderId="12" xfId="0" applyBorder="1" applyAlignment="1">
      <alignment/>
    </xf>
    <xf numFmtId="0" fontId="5" fillId="0" borderId="14" xfId="51" applyFont="1" applyFill="1" applyBorder="1" applyAlignment="1">
      <alignment horizontal="left" wrapText="1"/>
      <protection/>
    </xf>
    <xf numFmtId="0" fontId="5" fillId="0" borderId="13" xfId="51" applyFont="1" applyFill="1" applyBorder="1" applyAlignment="1">
      <alignment horizontal="left" wrapText="1"/>
      <protection/>
    </xf>
    <xf numFmtId="0" fontId="5" fillId="33" borderId="15" xfId="51" applyFont="1" applyFill="1" applyBorder="1" applyAlignment="1">
      <alignment horizontal="left"/>
      <protection/>
    </xf>
    <xf numFmtId="14" fontId="0" fillId="33" borderId="12" xfId="0" applyNumberFormat="1" applyFill="1" applyBorder="1" applyAlignment="1">
      <alignment horizontal="left"/>
    </xf>
    <xf numFmtId="170" fontId="0" fillId="33" borderId="12" xfId="0" applyNumberFormat="1" applyFill="1" applyBorder="1" applyAlignment="1">
      <alignment horizontal="left"/>
    </xf>
    <xf numFmtId="0" fontId="0" fillId="0" borderId="13" xfId="0" applyBorder="1" applyAlignment="1">
      <alignment horizontal="left"/>
    </xf>
    <xf numFmtId="0" fontId="0" fillId="0" borderId="15" xfId="0" applyBorder="1" applyAlignment="1">
      <alignment/>
    </xf>
    <xf numFmtId="0" fontId="0" fillId="0" borderId="11" xfId="0" applyBorder="1" applyAlignment="1">
      <alignment horizontal="left"/>
    </xf>
    <xf numFmtId="14" fontId="0" fillId="33" borderId="16" xfId="0" applyNumberFormat="1" applyFill="1" applyBorder="1" applyAlignment="1">
      <alignment horizontal="left"/>
    </xf>
    <xf numFmtId="0" fontId="0" fillId="33" borderId="17" xfId="0" applyFill="1" applyBorder="1" applyAlignment="1">
      <alignment horizontal="left"/>
    </xf>
    <xf numFmtId="0" fontId="0" fillId="33" borderId="16" xfId="0" applyFill="1" applyBorder="1" applyAlignment="1">
      <alignment horizontal="left"/>
    </xf>
    <xf numFmtId="0" fontId="0" fillId="0" borderId="18" xfId="0" applyBorder="1" applyAlignment="1">
      <alignment/>
    </xf>
    <xf numFmtId="0" fontId="5" fillId="33" borderId="17" xfId="51" applyFont="1" applyFill="1" applyBorder="1" applyAlignment="1">
      <alignment horizontal="left"/>
      <protection/>
    </xf>
    <xf numFmtId="0" fontId="5" fillId="33" borderId="16" xfId="51" applyFont="1" applyFill="1" applyBorder="1" applyAlignment="1">
      <alignment horizontal="left"/>
      <protection/>
    </xf>
    <xf numFmtId="0" fontId="7" fillId="0" borderId="0" xfId="0" applyFont="1" applyAlignment="1">
      <alignment/>
    </xf>
    <xf numFmtId="0" fontId="0" fillId="0" borderId="0" xfId="0" applyFont="1" applyAlignment="1">
      <alignment/>
    </xf>
    <xf numFmtId="1" fontId="8" fillId="0" borderId="0" xfId="0" applyNumberFormat="1" applyFont="1" applyAlignment="1">
      <alignment horizontal="center"/>
    </xf>
    <xf numFmtId="0" fontId="9" fillId="0" borderId="0" xfId="0" applyFont="1" applyAlignment="1">
      <alignment horizontal="left"/>
    </xf>
    <xf numFmtId="0" fontId="10" fillId="0" borderId="0" xfId="0" applyFont="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Border="1" applyAlignment="1">
      <alignment/>
    </xf>
    <xf numFmtId="0" fontId="15"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0" fontId="13"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0" fontId="12" fillId="0" borderId="19" xfId="0" applyFont="1" applyBorder="1" applyAlignment="1">
      <alignment horizontal="left"/>
    </xf>
    <xf numFmtId="0" fontId="0" fillId="0" borderId="19" xfId="0" applyFont="1" applyBorder="1" applyAlignment="1">
      <alignment/>
    </xf>
    <xf numFmtId="171" fontId="16" fillId="0" borderId="0" xfId="0" applyNumberFormat="1" applyFont="1" applyAlignment="1">
      <alignment horizontal="left"/>
    </xf>
    <xf numFmtId="0" fontId="5" fillId="0" borderId="0" xfId="51" applyFont="1" applyFill="1" applyBorder="1" applyAlignment="1">
      <alignment horizontal="left" wrapText="1"/>
      <protection/>
    </xf>
    <xf numFmtId="0" fontId="0" fillId="0" borderId="0" xfId="0" applyBorder="1" applyAlignment="1">
      <alignment horizontal="left"/>
    </xf>
    <xf numFmtId="14" fontId="0" fillId="0" borderId="0" xfId="0" applyNumberFormat="1" applyFill="1" applyBorder="1" applyAlignment="1">
      <alignment horizontal="left"/>
    </xf>
    <xf numFmtId="0" fontId="5" fillId="0" borderId="0" xfId="51" applyFont="1" applyFill="1" applyBorder="1" applyAlignment="1">
      <alignment horizontal="left"/>
      <protection/>
    </xf>
    <xf numFmtId="0" fontId="5" fillId="33" borderId="12" xfId="51" applyFont="1" applyFill="1" applyBorder="1" applyAlignment="1">
      <alignment horizontal="left"/>
      <protection/>
    </xf>
    <xf numFmtId="0" fontId="5" fillId="0" borderId="10" xfId="51" applyFont="1" applyFill="1" applyBorder="1" applyAlignment="1">
      <alignment horizontal="left" wrapText="1"/>
      <protection/>
    </xf>
    <xf numFmtId="0" fontId="0" fillId="0" borderId="10" xfId="0" applyBorder="1" applyAlignment="1">
      <alignment horizontal="left"/>
    </xf>
    <xf numFmtId="0" fontId="1" fillId="0" borderId="0" xfId="0" applyFont="1" applyBorder="1" applyAlignment="1">
      <alignment/>
    </xf>
    <xf numFmtId="0" fontId="1" fillId="0" borderId="18" xfId="0" applyFont="1" applyBorder="1" applyAlignment="1">
      <alignment/>
    </xf>
    <xf numFmtId="0" fontId="18" fillId="0" borderId="0" xfId="50" applyFont="1" applyAlignment="1">
      <alignment horizontal="left"/>
      <protection/>
    </xf>
    <xf numFmtId="0" fontId="13" fillId="0" borderId="0" xfId="50" applyFont="1">
      <alignment/>
      <protection/>
    </xf>
    <xf numFmtId="0" fontId="13" fillId="0" borderId="0" xfId="50" applyFont="1" applyAlignment="1">
      <alignment horizontal="center"/>
      <protection/>
    </xf>
    <xf numFmtId="0" fontId="8" fillId="0" borderId="0" xfId="0" applyFont="1" applyBorder="1" applyAlignment="1">
      <alignment horizontal="center"/>
    </xf>
    <xf numFmtId="3" fontId="0" fillId="0" borderId="0" xfId="0" applyNumberFormat="1" applyAlignment="1">
      <alignment/>
    </xf>
    <xf numFmtId="0" fontId="15" fillId="0" borderId="0" xfId="0" applyFont="1" applyAlignment="1">
      <alignment/>
    </xf>
    <xf numFmtId="0" fontId="18" fillId="0" borderId="19" xfId="50" applyFont="1" applyBorder="1">
      <alignment/>
      <protection/>
    </xf>
    <xf numFmtId="0" fontId="15" fillId="0" borderId="19" xfId="0" applyFont="1" applyBorder="1" applyAlignment="1">
      <alignment/>
    </xf>
    <xf numFmtId="0" fontId="0" fillId="0" borderId="0" xfId="0" applyAlignment="1">
      <alignment horizontal="right"/>
    </xf>
    <xf numFmtId="0" fontId="15" fillId="0" borderId="0" xfId="0" applyFont="1" applyAlignment="1">
      <alignment horizontal="right"/>
    </xf>
    <xf numFmtId="3" fontId="0" fillId="0" borderId="0" xfId="0" applyNumberFormat="1" applyAlignment="1">
      <alignment horizontal="right"/>
    </xf>
    <xf numFmtId="3" fontId="0" fillId="0" borderId="0" xfId="50" applyNumberFormat="1" applyFont="1" applyBorder="1" applyAlignment="1">
      <alignment horizontal="right"/>
      <protection/>
    </xf>
    <xf numFmtId="3" fontId="0" fillId="0" borderId="0" xfId="0" applyNumberFormat="1" applyFont="1" applyAlignment="1">
      <alignment horizontal="right"/>
    </xf>
    <xf numFmtId="3" fontId="0" fillId="0" borderId="0" xfId="0" applyNumberFormat="1" applyFont="1" applyAlignment="1">
      <alignment horizontal="center"/>
    </xf>
    <xf numFmtId="0" fontId="0" fillId="0" borderId="0" xfId="0" applyFont="1" applyAlignment="1">
      <alignment horizontal="left"/>
    </xf>
    <xf numFmtId="0" fontId="0" fillId="0" borderId="0" xfId="50" applyFont="1" applyAlignment="1">
      <alignment horizontal="left"/>
      <protection/>
    </xf>
    <xf numFmtId="14" fontId="16" fillId="0" borderId="0" xfId="0" applyNumberFormat="1" applyFont="1" applyAlignment="1">
      <alignment horizontal="left"/>
    </xf>
    <xf numFmtId="14" fontId="0" fillId="0" borderId="12" xfId="0" applyNumberFormat="1" applyBorder="1" applyAlignment="1">
      <alignment/>
    </xf>
    <xf numFmtId="0" fontId="25" fillId="0" borderId="11" xfId="51" applyFont="1" applyFill="1" applyBorder="1" applyAlignment="1">
      <alignment horizontal="left" wrapText="1"/>
      <protection/>
    </xf>
    <xf numFmtId="14" fontId="13" fillId="0" borderId="19" xfId="0" applyNumberFormat="1" applyFont="1" applyBorder="1" applyAlignment="1">
      <alignment horizontal="right"/>
    </xf>
    <xf numFmtId="3" fontId="13" fillId="0" borderId="0" xfId="50" applyNumberFormat="1" applyFont="1" applyAlignment="1">
      <alignment horizontal="right"/>
      <protection/>
    </xf>
    <xf numFmtId="3" fontId="13" fillId="0" borderId="0" xfId="50" applyNumberFormat="1" applyFont="1" applyBorder="1" applyAlignment="1">
      <alignment horizontal="right"/>
      <protection/>
    </xf>
    <xf numFmtId="3" fontId="0" fillId="0" borderId="0" xfId="50" applyNumberFormat="1" applyFont="1" applyBorder="1" applyAlignment="1">
      <alignment horizontal="right"/>
      <protection/>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center"/>
    </xf>
    <xf numFmtId="0" fontId="7" fillId="0" borderId="0" xfId="0" applyFont="1" applyAlignment="1">
      <alignment/>
    </xf>
    <xf numFmtId="0" fontId="7" fillId="0" borderId="0" xfId="0" applyFont="1" applyAlignment="1">
      <alignment horizontal="right"/>
    </xf>
    <xf numFmtId="3" fontId="0" fillId="0" borderId="0" xfId="50" applyNumberFormat="1" applyFont="1" applyBorder="1" applyAlignment="1">
      <alignment horizontal="center"/>
      <protection/>
    </xf>
    <xf numFmtId="0" fontId="18" fillId="0" borderId="0" xfId="50" applyFont="1" applyAlignment="1">
      <alignment horizontal="left"/>
      <protection/>
    </xf>
    <xf numFmtId="0" fontId="0" fillId="0" borderId="0" xfId="0" applyFont="1" applyBorder="1" applyAlignment="1">
      <alignment horizontal="left"/>
    </xf>
    <xf numFmtId="0" fontId="15" fillId="0" borderId="0" xfId="52" applyFont="1">
      <alignment/>
      <protection/>
    </xf>
    <xf numFmtId="4" fontId="15" fillId="0" borderId="0" xfId="52" applyNumberFormat="1" applyFont="1">
      <alignment/>
      <protection/>
    </xf>
    <xf numFmtId="0" fontId="15" fillId="0" borderId="0" xfId="52" applyFont="1" applyAlignment="1">
      <alignment horizontal="right"/>
      <protection/>
    </xf>
    <xf numFmtId="0" fontId="0" fillId="0" borderId="0" xfId="52" applyFont="1">
      <alignment/>
      <protection/>
    </xf>
    <xf numFmtId="4" fontId="0" fillId="0" borderId="0" xfId="52" applyNumberFormat="1" applyFont="1">
      <alignment/>
      <protection/>
    </xf>
    <xf numFmtId="0" fontId="13" fillId="0" borderId="0" xfId="52" applyFont="1">
      <alignment/>
      <protection/>
    </xf>
    <xf numFmtId="0" fontId="14" fillId="0" borderId="0" xfId="52" applyFont="1">
      <alignment/>
      <protection/>
    </xf>
    <xf numFmtId="0" fontId="0" fillId="0" borderId="0" xfId="52" applyFont="1" applyAlignment="1">
      <alignment horizontal="right"/>
      <protection/>
    </xf>
    <xf numFmtId="4" fontId="14" fillId="0" borderId="0" xfId="52" applyNumberFormat="1" applyFont="1">
      <alignment/>
      <protection/>
    </xf>
    <xf numFmtId="0" fontId="14" fillId="0" borderId="0" xfId="52" applyFont="1" applyAlignment="1">
      <alignment horizontal="right"/>
      <protection/>
    </xf>
    <xf numFmtId="3" fontId="0" fillId="0" borderId="0" xfId="52" applyNumberFormat="1" applyFont="1">
      <alignment/>
      <protection/>
    </xf>
    <xf numFmtId="3" fontId="0" fillId="0" borderId="18" xfId="52" applyNumberFormat="1" applyFont="1" applyBorder="1">
      <alignment/>
      <protection/>
    </xf>
    <xf numFmtId="3" fontId="13" fillId="0" borderId="0" xfId="52" applyNumberFormat="1" applyFont="1">
      <alignment/>
      <protection/>
    </xf>
    <xf numFmtId="3" fontId="15" fillId="0" borderId="0" xfId="52" applyNumberFormat="1" applyFont="1">
      <alignment/>
      <protection/>
    </xf>
    <xf numFmtId="3" fontId="0" fillId="0" borderId="0" xfId="52" applyNumberFormat="1" applyFont="1">
      <alignment/>
      <protection/>
    </xf>
    <xf numFmtId="0" fontId="0" fillId="0" borderId="0" xfId="50" applyFont="1" applyAlignment="1">
      <alignment horizontal="center"/>
      <protection/>
    </xf>
    <xf numFmtId="0" fontId="18" fillId="0" borderId="0" xfId="0" applyFont="1" applyAlignment="1">
      <alignment/>
    </xf>
    <xf numFmtId="0" fontId="0" fillId="0" borderId="0" xfId="50" applyFont="1" applyBorder="1" applyAlignment="1">
      <alignment horizontal="left"/>
      <protection/>
    </xf>
    <xf numFmtId="0" fontId="0" fillId="0" borderId="0" xfId="50" applyFont="1" applyBorder="1" applyAlignment="1">
      <alignment horizontal="center"/>
      <protection/>
    </xf>
    <xf numFmtId="0" fontId="13" fillId="0" borderId="0" xfId="50" applyFont="1" applyBorder="1">
      <alignment/>
      <protection/>
    </xf>
    <xf numFmtId="0" fontId="13" fillId="0" borderId="0" xfId="50" applyFont="1" applyBorder="1" applyAlignment="1">
      <alignment horizontal="center"/>
      <protection/>
    </xf>
    <xf numFmtId="0" fontId="13" fillId="0" borderId="0" xfId="50" applyFont="1" applyBorder="1" applyAlignment="1">
      <alignment horizontal="left"/>
      <protection/>
    </xf>
    <xf numFmtId="3" fontId="13" fillId="0" borderId="0" xfId="50" applyNumberFormat="1" applyFont="1" applyBorder="1" applyAlignment="1">
      <alignment horizontal="center"/>
      <protection/>
    </xf>
    <xf numFmtId="3" fontId="0" fillId="0" borderId="0" xfId="0" applyNumberFormat="1" applyBorder="1" applyAlignment="1">
      <alignment horizontal="right"/>
    </xf>
    <xf numFmtId="3" fontId="0" fillId="0" borderId="0" xfId="0" applyNumberFormat="1" applyBorder="1" applyAlignment="1">
      <alignment horizontal="center"/>
    </xf>
    <xf numFmtId="0" fontId="14" fillId="0" borderId="0" xfId="50" applyFont="1" applyBorder="1" applyAlignment="1">
      <alignment horizontal="left"/>
      <protection/>
    </xf>
    <xf numFmtId="0" fontId="18" fillId="0" borderId="0" xfId="50" applyFont="1" applyBorder="1">
      <alignment/>
      <protection/>
    </xf>
    <xf numFmtId="0" fontId="35" fillId="0" borderId="0" xfId="0" applyFont="1" applyAlignment="1">
      <alignment/>
    </xf>
    <xf numFmtId="0" fontId="0" fillId="0" borderId="0" xfId="50" applyFont="1" applyBorder="1" applyAlignment="1">
      <alignment horizontal="left" vertical="top" wrapText="1"/>
      <protection/>
    </xf>
    <xf numFmtId="0" fontId="0" fillId="0" borderId="0" xfId="0" applyFont="1" applyAlignment="1">
      <alignment vertical="top" wrapText="1"/>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50" applyFont="1" applyBorder="1" applyAlignment="1">
      <alignment horizontal="left"/>
      <protection/>
    </xf>
    <xf numFmtId="0" fontId="18" fillId="0" borderId="18" xfId="50" applyFont="1" applyBorder="1">
      <alignment/>
      <protection/>
    </xf>
    <xf numFmtId="14" fontId="13" fillId="0" borderId="18" xfId="50" applyNumberFormat="1" applyFont="1" applyBorder="1" applyAlignment="1">
      <alignment horizontal="right"/>
      <protection/>
    </xf>
    <xf numFmtId="0" fontId="13" fillId="0" borderId="18" xfId="0" applyFont="1" applyBorder="1" applyAlignment="1">
      <alignment horizontal="center"/>
    </xf>
    <xf numFmtId="0" fontId="0" fillId="0" borderId="18" xfId="0" applyFont="1" applyBorder="1" applyAlignment="1">
      <alignment horizontal="left"/>
    </xf>
    <xf numFmtId="15" fontId="0" fillId="0" borderId="18" xfId="0" applyNumberFormat="1" applyBorder="1" applyAlignment="1">
      <alignment/>
    </xf>
    <xf numFmtId="0" fontId="21" fillId="0" borderId="18" xfId="50" applyFont="1" applyBorder="1">
      <alignment/>
      <protection/>
    </xf>
    <xf numFmtId="0" fontId="35" fillId="0" borderId="18" xfId="0" applyFont="1" applyBorder="1" applyAlignment="1">
      <alignment/>
    </xf>
    <xf numFmtId="14" fontId="21" fillId="0" borderId="18" xfId="50" applyNumberFormat="1" applyFont="1" applyBorder="1" applyAlignment="1">
      <alignment horizontal="right"/>
      <protection/>
    </xf>
    <xf numFmtId="0" fontId="21" fillId="0" borderId="18" xfId="0" applyFont="1" applyBorder="1" applyAlignment="1">
      <alignment horizontal="center"/>
    </xf>
    <xf numFmtId="0" fontId="35" fillId="0" borderId="18" xfId="0" applyFont="1" applyBorder="1" applyAlignment="1">
      <alignment horizontal="left"/>
    </xf>
    <xf numFmtId="15" fontId="35" fillId="0" borderId="18" xfId="0" applyNumberFormat="1" applyFont="1" applyBorder="1" applyAlignment="1">
      <alignment/>
    </xf>
    <xf numFmtId="14" fontId="0" fillId="0" borderId="15" xfId="0" applyNumberFormat="1" applyBorder="1" applyAlignment="1">
      <alignment/>
    </xf>
    <xf numFmtId="3" fontId="0" fillId="0" borderId="18" xfId="0" applyNumberFormat="1" applyFont="1" applyFill="1" applyBorder="1" applyAlignment="1">
      <alignment/>
    </xf>
    <xf numFmtId="3" fontId="0" fillId="0" borderId="0" xfId="0" applyNumberFormat="1"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xf>
    <xf numFmtId="3" fontId="0" fillId="0" borderId="0" xfId="0" applyNumberFormat="1" applyFont="1" applyFill="1" applyAlignment="1">
      <alignment horizontal="right"/>
    </xf>
    <xf numFmtId="0" fontId="0" fillId="0" borderId="0" xfId="0" applyFont="1" applyFill="1" applyAlignment="1">
      <alignment/>
    </xf>
    <xf numFmtId="3" fontId="0" fillId="0" borderId="0" xfId="0" applyNumberFormat="1" applyFont="1" applyFill="1" applyBorder="1" applyAlignment="1">
      <alignment/>
    </xf>
    <xf numFmtId="3" fontId="14" fillId="0" borderId="0" xfId="0" applyNumberFormat="1" applyFont="1" applyFill="1" applyBorder="1" applyAlignment="1">
      <alignment/>
    </xf>
    <xf numFmtId="0" fontId="0" fillId="0" borderId="0" xfId="0" applyFill="1" applyAlignment="1">
      <alignment horizontal="right"/>
    </xf>
    <xf numFmtId="0" fontId="18" fillId="0" borderId="0" xfId="50" applyFont="1" applyFill="1" applyAlignment="1">
      <alignment horizontal="left"/>
      <protection/>
    </xf>
    <xf numFmtId="0" fontId="7" fillId="0" borderId="0" xfId="0" applyFont="1" applyFill="1" applyAlignment="1">
      <alignment/>
    </xf>
    <xf numFmtId="0" fontId="18" fillId="0" borderId="19" xfId="50" applyFont="1" applyFill="1" applyBorder="1">
      <alignment/>
      <protection/>
    </xf>
    <xf numFmtId="0" fontId="24" fillId="0" borderId="19" xfId="0" applyFont="1" applyFill="1" applyBorder="1" applyAlignment="1">
      <alignment/>
    </xf>
    <xf numFmtId="14" fontId="13" fillId="0" borderId="19" xfId="0" applyNumberFormat="1" applyFont="1" applyFill="1" applyBorder="1" applyAlignment="1">
      <alignment horizontal="right"/>
    </xf>
    <xf numFmtId="15" fontId="13" fillId="0" borderId="19" xfId="0" applyNumberFormat="1" applyFont="1" applyFill="1" applyBorder="1" applyAlignment="1">
      <alignment horizontal="center"/>
    </xf>
    <xf numFmtId="15" fontId="13" fillId="0" borderId="0" xfId="0" applyNumberFormat="1" applyFont="1" applyFill="1" applyBorder="1" applyAlignment="1">
      <alignment horizontal="center"/>
    </xf>
    <xf numFmtId="0" fontId="1" fillId="0" borderId="0" xfId="0" applyFont="1" applyFill="1" applyAlignment="1">
      <alignment/>
    </xf>
    <xf numFmtId="0" fontId="15" fillId="0" borderId="0" xfId="0" applyFont="1" applyFill="1" applyAlignment="1">
      <alignment/>
    </xf>
    <xf numFmtId="0" fontId="15" fillId="0" borderId="0" xfId="0" applyFont="1" applyFill="1" applyAlignment="1">
      <alignment horizontal="right"/>
    </xf>
    <xf numFmtId="0" fontId="15" fillId="0" borderId="0" xfId="0" applyFont="1" applyFill="1" applyAlignment="1">
      <alignment horizontal="center"/>
    </xf>
    <xf numFmtId="0" fontId="13" fillId="0" borderId="0" xfId="0" applyFont="1" applyFill="1" applyAlignment="1">
      <alignment/>
    </xf>
    <xf numFmtId="0" fontId="0" fillId="0" borderId="0" xfId="0" applyFont="1" applyFill="1" applyAlignment="1">
      <alignment horizontal="left" vertical="top" wrapText="1"/>
    </xf>
    <xf numFmtId="0" fontId="0" fillId="0" borderId="0" xfId="0" applyFont="1" applyFill="1" applyAlignment="1">
      <alignment wrapText="1"/>
    </xf>
    <xf numFmtId="0" fontId="4" fillId="0" borderId="0" xfId="0" applyFont="1" applyFill="1" applyAlignment="1">
      <alignment/>
    </xf>
    <xf numFmtId="0" fontId="24" fillId="0" borderId="0" xfId="0" applyFont="1" applyFill="1" applyAlignment="1">
      <alignment horizontal="right"/>
    </xf>
    <xf numFmtId="3" fontId="0" fillId="0" borderId="0" xfId="0" applyNumberFormat="1" applyFont="1" applyFill="1" applyBorder="1" applyAlignment="1">
      <alignment horizontal="center"/>
    </xf>
    <xf numFmtId="0" fontId="0" fillId="0" borderId="20" xfId="0" applyFont="1" applyFill="1" applyBorder="1" applyAlignment="1">
      <alignment/>
    </xf>
    <xf numFmtId="0" fontId="15" fillId="0" borderId="0" xfId="0" applyFont="1" applyFill="1" applyBorder="1" applyAlignment="1">
      <alignment horizontal="center"/>
    </xf>
    <xf numFmtId="0" fontId="0" fillId="0" borderId="18" xfId="0" applyFont="1" applyFill="1" applyBorder="1" applyAlignment="1">
      <alignment/>
    </xf>
    <xf numFmtId="0" fontId="19" fillId="0" borderId="0" xfId="0" applyFont="1" applyFill="1" applyAlignment="1">
      <alignment/>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Alignment="1">
      <alignment horizontal="center"/>
    </xf>
    <xf numFmtId="0" fontId="13" fillId="0" borderId="0" xfId="0" applyFont="1" applyFill="1" applyAlignment="1">
      <alignment horizontal="left"/>
    </xf>
    <xf numFmtId="3" fontId="0" fillId="0" borderId="0" xfId="0" applyNumberFormat="1" applyFont="1" applyFill="1" applyAlignment="1">
      <alignment horizontal="center"/>
    </xf>
    <xf numFmtId="3"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3" fontId="0" fillId="0" borderId="18" xfId="0" applyNumberFormat="1" applyFont="1" applyFill="1" applyBorder="1" applyAlignment="1">
      <alignment horizontal="right"/>
    </xf>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ill="1" applyAlignment="1">
      <alignment/>
    </xf>
    <xf numFmtId="3" fontId="0" fillId="0" borderId="0" xfId="0" applyNumberFormat="1" applyFont="1" applyFill="1" applyAlignment="1">
      <alignment/>
    </xf>
    <xf numFmtId="0" fontId="0" fillId="0" borderId="0" xfId="0" applyFont="1" applyFill="1" applyAlignment="1">
      <alignment horizontal="right"/>
    </xf>
    <xf numFmtId="0" fontId="13" fillId="0" borderId="0" xfId="0" applyFont="1" applyFill="1" applyAlignment="1">
      <alignment vertical="top"/>
    </xf>
    <xf numFmtId="0" fontId="0" fillId="0" borderId="0" xfId="0" applyFont="1" applyFill="1" applyAlignment="1">
      <alignment horizontal="left" indent="1"/>
    </xf>
    <xf numFmtId="3" fontId="0" fillId="0" borderId="0" xfId="0" applyNumberFormat="1" applyFont="1" applyFill="1" applyBorder="1" applyAlignment="1">
      <alignment horizontal="right"/>
    </xf>
    <xf numFmtId="0" fontId="14" fillId="0" borderId="0" xfId="0" applyFont="1" applyFill="1" applyAlignment="1">
      <alignment/>
    </xf>
    <xf numFmtId="0" fontId="20" fillId="0" borderId="0" xfId="0" applyFont="1" applyFill="1" applyBorder="1" applyAlignment="1">
      <alignment horizontal="center"/>
    </xf>
    <xf numFmtId="0" fontId="21" fillId="0" borderId="0" xfId="0" applyFont="1" applyFill="1" applyAlignment="1">
      <alignment/>
    </xf>
    <xf numFmtId="3" fontId="30" fillId="0" borderId="18" xfId="0" applyNumberFormat="1" applyFont="1" applyFill="1" applyBorder="1" applyAlignment="1">
      <alignment horizontal="center" vertical="top" wrapText="1"/>
    </xf>
    <xf numFmtId="3" fontId="30" fillId="0" borderId="18" xfId="0" applyNumberFormat="1" applyFont="1" applyFill="1" applyBorder="1" applyAlignment="1">
      <alignment horizontal="center"/>
    </xf>
    <xf numFmtId="9" fontId="30" fillId="0" borderId="18" xfId="53" applyFont="1" applyFill="1" applyBorder="1" applyAlignment="1">
      <alignment horizontal="center" vertical="top" wrapText="1"/>
    </xf>
    <xf numFmtId="0" fontId="22" fillId="0" borderId="0" xfId="0" applyFont="1" applyFill="1" applyAlignment="1">
      <alignment/>
    </xf>
    <xf numFmtId="0" fontId="22" fillId="0" borderId="0" xfId="0" applyFont="1" applyFill="1" applyBorder="1" applyAlignment="1">
      <alignment horizontal="center"/>
    </xf>
    <xf numFmtId="0" fontId="23" fillId="0" borderId="0" xfId="0" applyFont="1" applyFill="1" applyAlignment="1">
      <alignment/>
    </xf>
    <xf numFmtId="0" fontId="28" fillId="0" borderId="0" xfId="0" applyFont="1" applyFill="1" applyAlignment="1">
      <alignment/>
    </xf>
    <xf numFmtId="3" fontId="0" fillId="0" borderId="21" xfId="0" applyNumberFormat="1" applyFont="1" applyFill="1" applyBorder="1" applyAlignment="1">
      <alignment horizontal="right"/>
    </xf>
    <xf numFmtId="10" fontId="0" fillId="0" borderId="21" xfId="0" applyNumberFormat="1" applyFont="1" applyFill="1" applyBorder="1" applyAlignment="1">
      <alignment horizontal="right"/>
    </xf>
    <xf numFmtId="0" fontId="14" fillId="0" borderId="0" xfId="0" applyFont="1" applyFill="1" applyBorder="1" applyAlignment="1">
      <alignment horizontal="center"/>
    </xf>
    <xf numFmtId="10" fontId="0" fillId="0" borderId="0" xfId="0" applyNumberFormat="1" applyFont="1" applyFill="1" applyBorder="1" applyAlignment="1">
      <alignment horizontal="right"/>
    </xf>
    <xf numFmtId="10" fontId="0" fillId="0" borderId="18" xfId="0" applyNumberFormat="1" applyFont="1" applyFill="1" applyBorder="1" applyAlignment="1">
      <alignment horizontal="right"/>
    </xf>
    <xf numFmtId="0" fontId="0" fillId="0" borderId="0" xfId="0" applyFont="1" applyFill="1" applyAlignment="1">
      <alignment horizontal="left" wrapText="1"/>
    </xf>
    <xf numFmtId="3" fontId="30" fillId="0" borderId="0" xfId="0" applyNumberFormat="1" applyFont="1" applyFill="1" applyAlignment="1">
      <alignment horizontal="center" vertical="top" wrapText="1"/>
    </xf>
    <xf numFmtId="3" fontId="30" fillId="0" borderId="0" xfId="0" applyNumberFormat="1" applyFont="1" applyFill="1" applyAlignment="1">
      <alignment horizontal="center"/>
    </xf>
    <xf numFmtId="3" fontId="0" fillId="0" borderId="20" xfId="0" applyNumberFormat="1" applyFont="1" applyFill="1" applyBorder="1" applyAlignment="1">
      <alignment horizontal="right"/>
    </xf>
    <xf numFmtId="10" fontId="0" fillId="0" borderId="20" xfId="0" applyNumberFormat="1" applyFont="1" applyFill="1" applyBorder="1" applyAlignment="1">
      <alignment horizontal="right"/>
    </xf>
    <xf numFmtId="0" fontId="26" fillId="0" borderId="0" xfId="0" applyFont="1" applyFill="1" applyAlignment="1">
      <alignment/>
    </xf>
    <xf numFmtId="0" fontId="26" fillId="0" borderId="0" xfId="0" applyFont="1" applyFill="1" applyBorder="1" applyAlignment="1">
      <alignment horizontal="center"/>
    </xf>
    <xf numFmtId="0" fontId="4" fillId="0" borderId="0" xfId="0" applyFont="1" applyFill="1" applyAlignment="1">
      <alignment/>
    </xf>
    <xf numFmtId="3" fontId="21" fillId="0" borderId="0" xfId="0" applyNumberFormat="1" applyFont="1" applyFill="1" applyBorder="1" applyAlignment="1">
      <alignment horizontal="center" vertical="top" wrapText="1"/>
    </xf>
    <xf numFmtId="14" fontId="28" fillId="0" borderId="0" xfId="0" applyNumberFormat="1" applyFont="1" applyFill="1" applyAlignment="1">
      <alignment horizontal="right" vertical="top" wrapText="1"/>
    </xf>
    <xf numFmtId="3" fontId="28"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0" fontId="24" fillId="0" borderId="0" xfId="0" applyFont="1" applyFill="1" applyAlignment="1">
      <alignment/>
    </xf>
    <xf numFmtId="0" fontId="27" fillId="0" borderId="0" xfId="0" applyFont="1" applyFill="1" applyBorder="1" applyAlignment="1">
      <alignment horizontal="center"/>
    </xf>
    <xf numFmtId="0" fontId="4" fillId="0" borderId="0" xfId="0" applyFont="1" applyFill="1" applyAlignment="1">
      <alignment/>
    </xf>
    <xf numFmtId="3" fontId="0" fillId="0" borderId="20" xfId="0" applyNumberFormat="1" applyFont="1" applyFill="1" applyBorder="1" applyAlignment="1">
      <alignment/>
    </xf>
    <xf numFmtId="3" fontId="13" fillId="0" borderId="0" xfId="0" applyNumberFormat="1" applyFont="1" applyFill="1" applyAlignment="1">
      <alignment horizontal="right"/>
    </xf>
    <xf numFmtId="3" fontId="13" fillId="0" borderId="0" xfId="0" applyNumberFormat="1" applyFont="1" applyFill="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3" fontId="24" fillId="0" borderId="0" xfId="0" applyNumberFormat="1" applyFont="1" applyFill="1" applyAlignment="1">
      <alignment horizontal="center"/>
    </xf>
    <xf numFmtId="0" fontId="24" fillId="0" borderId="0" xfId="0" applyFont="1" applyFill="1" applyAlignment="1">
      <alignment horizontal="center" vertical="top"/>
    </xf>
    <xf numFmtId="0" fontId="24" fillId="0" borderId="0" xfId="0" applyFont="1" applyFill="1" applyAlignment="1">
      <alignment horizontal="center" vertical="top" wrapText="1"/>
    </xf>
    <xf numFmtId="49" fontId="24" fillId="0" borderId="0" xfId="0" applyNumberFormat="1" applyFont="1" applyFill="1" applyAlignment="1">
      <alignment horizontal="center" vertical="top" wrapText="1"/>
    </xf>
    <xf numFmtId="3" fontId="24" fillId="0" borderId="0" xfId="0" applyNumberFormat="1" applyFont="1" applyFill="1" applyAlignment="1">
      <alignment horizontal="center" vertical="top"/>
    </xf>
    <xf numFmtId="0" fontId="24" fillId="0" borderId="0" xfId="0" applyFont="1" applyFill="1" applyAlignment="1">
      <alignment horizontal="left"/>
    </xf>
    <xf numFmtId="3" fontId="15" fillId="0" borderId="0" xfId="0" applyNumberFormat="1" applyFont="1" applyFill="1" applyAlignment="1">
      <alignment horizontal="right"/>
    </xf>
    <xf numFmtId="14" fontId="24" fillId="0" borderId="0" xfId="0" applyNumberFormat="1" applyFont="1" applyFill="1" applyAlignment="1">
      <alignment horizontal="left"/>
    </xf>
    <xf numFmtId="3" fontId="0" fillId="0" borderId="0" xfId="0" applyNumberFormat="1" applyFont="1" applyFill="1" applyAlignment="1">
      <alignment horizontal="right"/>
    </xf>
    <xf numFmtId="0" fontId="4" fillId="0" borderId="0" xfId="0" applyFont="1" applyFill="1" applyAlignment="1">
      <alignment/>
    </xf>
    <xf numFmtId="3" fontId="24" fillId="0" borderId="0" xfId="0" applyNumberFormat="1" applyFont="1" applyFill="1" applyAlignment="1">
      <alignment horizontal="left" vertical="top" wrapText="1"/>
    </xf>
    <xf numFmtId="3" fontId="24" fillId="0" borderId="0" xfId="0" applyNumberFormat="1" applyFont="1" applyFill="1" applyAlignment="1">
      <alignment horizontal="center" vertical="top" wrapText="1"/>
    </xf>
    <xf numFmtId="3" fontId="0" fillId="0" borderId="20" xfId="0" applyNumberFormat="1" applyFont="1" applyFill="1" applyBorder="1" applyAlignment="1">
      <alignment/>
    </xf>
    <xf numFmtId="165" fontId="0" fillId="0" borderId="20" xfId="0" applyNumberFormat="1" applyFont="1" applyFill="1" applyBorder="1" applyAlignment="1">
      <alignment horizontal="right"/>
    </xf>
    <xf numFmtId="14" fontId="0" fillId="0" borderId="20" xfId="0" applyNumberFormat="1" applyFont="1" applyFill="1" applyBorder="1" applyAlignment="1">
      <alignment horizontal="right"/>
    </xf>
    <xf numFmtId="3" fontId="0" fillId="0" borderId="0" xfId="0" applyNumberFormat="1" applyFont="1" applyFill="1" applyBorder="1" applyAlignment="1">
      <alignment/>
    </xf>
    <xf numFmtId="14" fontId="0" fillId="0" borderId="0" xfId="0" applyNumberFormat="1" applyFont="1" applyFill="1" applyBorder="1" applyAlignment="1">
      <alignment horizontal="right"/>
    </xf>
    <xf numFmtId="3" fontId="0" fillId="0" borderId="18" xfId="0" applyNumberFormat="1" applyFont="1" applyFill="1" applyBorder="1" applyAlignment="1">
      <alignment/>
    </xf>
    <xf numFmtId="165" fontId="0" fillId="0" borderId="18" xfId="0" applyNumberFormat="1" applyFont="1" applyFill="1" applyBorder="1" applyAlignment="1">
      <alignment horizontal="right"/>
    </xf>
    <xf numFmtId="14" fontId="0" fillId="0" borderId="18" xfId="0" applyNumberFormat="1" applyFont="1" applyFill="1" applyBorder="1" applyAlignment="1">
      <alignment horizontal="right"/>
    </xf>
    <xf numFmtId="3" fontId="4" fillId="0" borderId="0" xfId="0" applyNumberFormat="1" applyFont="1" applyFill="1" applyAlignment="1">
      <alignment/>
    </xf>
    <xf numFmtId="0" fontId="0" fillId="0" borderId="0" xfId="0" applyFill="1" applyAlignment="1">
      <alignment horizontal="center"/>
    </xf>
    <xf numFmtId="3" fontId="0" fillId="0" borderId="0" xfId="0" applyNumberFormat="1" applyFont="1" applyFill="1" applyAlignment="1">
      <alignment horizontal="left"/>
    </xf>
    <xf numFmtId="3" fontId="0" fillId="0" borderId="0" xfId="0" applyNumberFormat="1" applyFont="1" applyFill="1" applyAlignment="1">
      <alignment horizontal="left"/>
    </xf>
    <xf numFmtId="3" fontId="0" fillId="0" borderId="18" xfId="0" applyNumberFormat="1" applyFont="1" applyFill="1" applyBorder="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0" fillId="0" borderId="0" xfId="0" applyFont="1" applyFill="1" applyAlignment="1">
      <alignment horizontal="right"/>
    </xf>
    <xf numFmtId="0" fontId="0" fillId="0" borderId="0" xfId="0" applyFill="1" applyAlignment="1">
      <alignment horizontal="left"/>
    </xf>
    <xf numFmtId="3" fontId="0" fillId="0" borderId="0" xfId="0" applyNumberFormat="1" applyFill="1" applyAlignment="1">
      <alignment horizontal="center"/>
    </xf>
    <xf numFmtId="3" fontId="0" fillId="0" borderId="0" xfId="0" applyNumberFormat="1" applyFill="1" applyAlignment="1">
      <alignment horizontal="right"/>
    </xf>
    <xf numFmtId="0" fontId="0" fillId="0" borderId="19" xfId="0" applyFill="1" applyBorder="1" applyAlignment="1">
      <alignment/>
    </xf>
    <xf numFmtId="14" fontId="13" fillId="0" borderId="19" xfId="50" applyNumberFormat="1" applyFont="1" applyFill="1" applyBorder="1" applyAlignment="1">
      <alignment horizontal="right"/>
      <protection/>
    </xf>
    <xf numFmtId="0" fontId="13" fillId="0" borderId="19" xfId="0" applyFont="1" applyFill="1" applyBorder="1" applyAlignment="1">
      <alignment horizontal="center"/>
    </xf>
    <xf numFmtId="0" fontId="0" fillId="0" borderId="19" xfId="0" applyFont="1" applyFill="1" applyBorder="1" applyAlignment="1">
      <alignment horizontal="left"/>
    </xf>
    <xf numFmtId="15" fontId="0" fillId="0" borderId="19" xfId="0" applyNumberFormat="1" applyFill="1" applyBorder="1" applyAlignment="1">
      <alignment/>
    </xf>
    <xf numFmtId="0" fontId="0" fillId="0" borderId="0" xfId="0" applyFill="1" applyBorder="1" applyAlignment="1">
      <alignment/>
    </xf>
    <xf numFmtId="0" fontId="13" fillId="0" borderId="0" xfId="50" applyFont="1" applyFill="1">
      <alignment/>
      <protection/>
    </xf>
    <xf numFmtId="0" fontId="7" fillId="0" borderId="0" xfId="0" applyFont="1" applyFill="1" applyAlignment="1">
      <alignment/>
    </xf>
    <xf numFmtId="0" fontId="0" fillId="0" borderId="0" xfId="50" applyFont="1" applyFill="1" applyAlignment="1">
      <alignment horizontal="left"/>
      <protection/>
    </xf>
    <xf numFmtId="0" fontId="7" fillId="0" borderId="0" xfId="0" applyFont="1" applyFill="1" applyAlignment="1">
      <alignment horizontal="right"/>
    </xf>
    <xf numFmtId="3" fontId="13" fillId="0" borderId="0" xfId="50" applyNumberFormat="1" applyFont="1" applyFill="1" applyAlignment="1">
      <alignment horizontal="right"/>
      <protection/>
    </xf>
    <xf numFmtId="0" fontId="0" fillId="0" borderId="0" xfId="50" applyFont="1" applyFill="1" applyAlignment="1">
      <alignment horizontal="left"/>
      <protection/>
    </xf>
    <xf numFmtId="0" fontId="14" fillId="0" borderId="0" xfId="50" applyFont="1" applyFill="1" applyAlignment="1">
      <alignment horizontal="left"/>
      <protection/>
    </xf>
    <xf numFmtId="3" fontId="0" fillId="0" borderId="0" xfId="50" applyNumberFormat="1" applyFont="1" applyFill="1" applyAlignment="1">
      <alignment horizontal="right"/>
      <protection/>
    </xf>
    <xf numFmtId="3" fontId="0" fillId="0" borderId="0" xfId="50" applyNumberFormat="1" applyFont="1" applyFill="1" applyAlignment="1">
      <alignment horizontal="center"/>
      <protection/>
    </xf>
    <xf numFmtId="0" fontId="0" fillId="0" borderId="0" xfId="50" applyFont="1" applyFill="1" applyAlignment="1">
      <alignment horizontal="center"/>
      <protection/>
    </xf>
    <xf numFmtId="3" fontId="0" fillId="0" borderId="18" xfId="50" applyNumberFormat="1" applyFont="1" applyFill="1" applyBorder="1" applyAlignment="1">
      <alignment horizontal="right"/>
      <protection/>
    </xf>
    <xf numFmtId="0" fontId="13" fillId="0" borderId="0" xfId="50" applyFont="1" applyFill="1" applyAlignment="1">
      <alignment horizontal="center"/>
      <protection/>
    </xf>
    <xf numFmtId="0" fontId="13" fillId="0" borderId="0" xfId="50" applyFont="1" applyFill="1" applyAlignment="1">
      <alignment horizontal="left"/>
      <protection/>
    </xf>
    <xf numFmtId="3" fontId="13" fillId="0" borderId="0" xfId="50" applyNumberFormat="1" applyFont="1" applyFill="1" applyAlignment="1">
      <alignment horizontal="center"/>
      <protection/>
    </xf>
    <xf numFmtId="3" fontId="0" fillId="0" borderId="0" xfId="50" applyNumberFormat="1" applyFont="1" applyFill="1" applyAlignment="1">
      <alignment horizontal="right"/>
      <protection/>
    </xf>
    <xf numFmtId="3" fontId="0" fillId="0" borderId="0" xfId="50" applyNumberFormat="1" applyFont="1" applyFill="1" applyAlignment="1">
      <alignment horizontal="center"/>
      <protection/>
    </xf>
    <xf numFmtId="3" fontId="0" fillId="0" borderId="18" xfId="50" applyNumberFormat="1" applyFont="1" applyFill="1" applyBorder="1" applyAlignment="1">
      <alignment horizontal="right"/>
      <protection/>
    </xf>
    <xf numFmtId="0" fontId="18" fillId="0" borderId="0" xfId="50" applyFont="1" applyFill="1">
      <alignment/>
      <protection/>
    </xf>
    <xf numFmtId="0" fontId="15" fillId="0" borderId="19" xfId="0" applyFont="1" applyFill="1" applyBorder="1" applyAlignment="1">
      <alignment/>
    </xf>
    <xf numFmtId="15" fontId="15" fillId="0" borderId="19" xfId="0" applyNumberFormat="1" applyFont="1" applyFill="1" applyBorder="1" applyAlignment="1">
      <alignment/>
    </xf>
    <xf numFmtId="3" fontId="0" fillId="0" borderId="0" xfId="50" applyNumberFormat="1" applyFont="1" applyFill="1" applyBorder="1" applyAlignment="1">
      <alignment horizontal="right"/>
      <protection/>
    </xf>
    <xf numFmtId="3" fontId="13" fillId="0" borderId="0" xfId="50" applyNumberFormat="1" applyFont="1" applyFill="1" applyBorder="1" applyAlignment="1">
      <alignment horizontal="right"/>
      <protection/>
    </xf>
    <xf numFmtId="3" fontId="13" fillId="0" borderId="0" xfId="0" applyNumberFormat="1" applyFont="1" applyFill="1" applyAlignment="1">
      <alignment horizontal="center"/>
    </xf>
    <xf numFmtId="0" fontId="13" fillId="0" borderId="0" xfId="50" applyFont="1" applyFill="1" applyAlignment="1">
      <alignment horizontal="left" indent="1"/>
      <protection/>
    </xf>
    <xf numFmtId="0" fontId="29" fillId="0" borderId="0" xfId="0" applyFont="1" applyFill="1" applyAlignment="1">
      <alignment/>
    </xf>
    <xf numFmtId="0" fontId="29" fillId="0" borderId="0" xfId="50" applyFont="1" applyFill="1" applyAlignment="1">
      <alignment horizontal="left"/>
      <protection/>
    </xf>
    <xf numFmtId="0" fontId="18" fillId="0" borderId="0" xfId="50" applyFont="1" applyFill="1" applyAlignment="1">
      <alignment horizontal="left"/>
      <protection/>
    </xf>
    <xf numFmtId="3" fontId="15" fillId="0" borderId="0" xfId="0" applyNumberFormat="1" applyFont="1" applyFill="1" applyAlignment="1">
      <alignment/>
    </xf>
    <xf numFmtId="3" fontId="0" fillId="0" borderId="0" xfId="50" applyNumberFormat="1" applyFont="1" applyFill="1" applyBorder="1" applyAlignment="1">
      <alignment horizontal="right"/>
      <protection/>
    </xf>
    <xf numFmtId="0" fontId="0" fillId="0" borderId="0" xfId="50" applyFont="1" applyFill="1">
      <alignment/>
      <protection/>
    </xf>
    <xf numFmtId="3" fontId="0" fillId="0" borderId="0" xfId="50" applyNumberFormat="1" applyFont="1" applyFill="1" applyBorder="1" applyAlignment="1">
      <alignment horizontal="center"/>
      <protection/>
    </xf>
    <xf numFmtId="0" fontId="0" fillId="0" borderId="0" xfId="0" applyFont="1" applyFill="1" applyAlignment="1">
      <alignment horizontal="left" indent="2"/>
    </xf>
    <xf numFmtId="0" fontId="0" fillId="0" borderId="0" xfId="50" applyFont="1" applyFill="1" applyAlignment="1">
      <alignment horizontal="left" wrapText="1"/>
      <protection/>
    </xf>
    <xf numFmtId="0" fontId="13" fillId="0" borderId="0" xfId="52" applyFont="1" applyAlignment="1">
      <alignment horizontal="left" wrapText="1"/>
      <protection/>
    </xf>
    <xf numFmtId="0" fontId="13" fillId="0" borderId="0" xfId="52" applyFont="1" applyAlignment="1">
      <alignment horizontal="left"/>
      <protection/>
    </xf>
    <xf numFmtId="0" fontId="0" fillId="0" borderId="0" xfId="52" applyFont="1" applyAlignment="1">
      <alignment horizontal="left" wrapText="1"/>
      <protection/>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alignment horizontal="left"/>
    </xf>
    <xf numFmtId="0" fontId="13" fillId="0" borderId="0" xfId="0" applyFont="1" applyFill="1" applyAlignment="1">
      <alignment horizontal="left" wrapText="1"/>
    </xf>
    <xf numFmtId="0" fontId="0" fillId="0" borderId="0" xfId="50" applyFont="1" applyBorder="1" applyAlignment="1">
      <alignment horizontal="left" wrapText="1"/>
      <protection/>
    </xf>
    <xf numFmtId="0" fontId="0" fillId="0" borderId="0" xfId="50" applyFont="1" applyBorder="1" applyAlignment="1">
      <alignment horizontal="left" vertical="top" wrapText="1"/>
      <protection/>
    </xf>
    <xf numFmtId="0" fontId="0" fillId="0" borderId="0" xfId="0" applyFont="1" applyAlignment="1">
      <alignment vertical="top" wrapText="1"/>
    </xf>
  </cellXfs>
  <cellStyles count="52">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_123RR94A" xfId="50"/>
    <cellStyle name="Normal_Indata" xfId="51"/>
    <cellStyle name="Normal_Kassaflödesanalys" xfId="52"/>
    <cellStyle name="Percent" xfId="53"/>
    <cellStyle name="Rubrik" xfId="54"/>
    <cellStyle name="Rubrik 1" xfId="55"/>
    <cellStyle name="Rubrik 2" xfId="56"/>
    <cellStyle name="Rubrik 3" xfId="57"/>
    <cellStyle name="Rubrik 4" xfId="58"/>
    <cellStyle name="Summa" xfId="59"/>
    <cellStyle name="Comma" xfId="60"/>
    <cellStyle name="Comma [0]" xfId="61"/>
    <cellStyle name="Utdata" xfId="62"/>
    <cellStyle name="Currency" xfId="63"/>
    <cellStyle name="Currency [0]" xfId="64"/>
    <cellStyle name="Varnings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6.emf" /><Relationship Id="rId3" Type="http://schemas.openxmlformats.org/officeDocument/2006/relationships/image" Target="../media/image13.emf" /><Relationship Id="rId4" Type="http://schemas.openxmlformats.org/officeDocument/2006/relationships/image" Target="../media/image10.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7.emf" /><Relationship Id="rId3" Type="http://schemas.openxmlformats.org/officeDocument/2006/relationships/image" Target="../media/image16.emf" /><Relationship Id="rId4" Type="http://schemas.openxmlformats.org/officeDocument/2006/relationships/image" Target="../media/image1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1457325</xdr:colOff>
      <xdr:row>7</xdr:row>
      <xdr:rowOff>9525</xdr:rowOff>
    </xdr:to>
    <xdr:pic>
      <xdr:nvPicPr>
        <xdr:cNvPr id="1" name="Picture 1"/>
        <xdr:cNvPicPr preferRelativeResize="1">
          <a:picLocks noChangeAspect="1"/>
        </xdr:cNvPicPr>
      </xdr:nvPicPr>
      <xdr:blipFill>
        <a:blip r:embed="rId1"/>
        <a:stretch>
          <a:fillRect/>
        </a:stretch>
      </xdr:blipFill>
      <xdr:spPr>
        <a:xfrm>
          <a:off x="0" y="0"/>
          <a:ext cx="145732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523875</xdr:colOff>
      <xdr:row>2</xdr:row>
      <xdr:rowOff>142875</xdr:rowOff>
    </xdr:to>
    <xdr:pic>
      <xdr:nvPicPr>
        <xdr:cNvPr id="1" name="Picture 9" descr="HSB_logo_BLACK"/>
        <xdr:cNvPicPr preferRelativeResize="1">
          <a:picLocks noChangeAspect="1"/>
        </xdr:cNvPicPr>
      </xdr:nvPicPr>
      <xdr:blipFill>
        <a:blip r:embed="rId1"/>
        <a:stretch>
          <a:fillRect/>
        </a:stretch>
      </xdr:blipFill>
      <xdr:spPr>
        <a:xfrm>
          <a:off x="0" y="28575"/>
          <a:ext cx="523875" cy="514350"/>
        </a:xfrm>
        <a:prstGeom prst="rect">
          <a:avLst/>
        </a:prstGeom>
        <a:noFill/>
        <a:ln w="9525" cmpd="sng">
          <a:noFill/>
        </a:ln>
      </xdr:spPr>
    </xdr:pic>
    <xdr:clientData/>
  </xdr:twoCellAnchor>
  <xdr:twoCellAnchor editAs="oneCell">
    <xdr:from>
      <xdr:col>8</xdr:col>
      <xdr:colOff>0</xdr:colOff>
      <xdr:row>0</xdr:row>
      <xdr:rowOff>76200</xdr:rowOff>
    </xdr:from>
    <xdr:to>
      <xdr:col>9</xdr:col>
      <xdr:colOff>19050</xdr:colOff>
      <xdr:row>1</xdr:row>
      <xdr:rowOff>171450</xdr:rowOff>
    </xdr:to>
    <xdr:pic>
      <xdr:nvPicPr>
        <xdr:cNvPr id="2" name="cmdSkrivUt1"/>
        <xdr:cNvPicPr preferRelativeResize="1">
          <a:picLocks noChangeAspect="1"/>
        </xdr:cNvPicPr>
      </xdr:nvPicPr>
      <xdr:blipFill>
        <a:blip r:embed="rId2"/>
        <a:stretch>
          <a:fillRect/>
        </a:stretch>
      </xdr:blipFill>
      <xdr:spPr>
        <a:xfrm>
          <a:off x="5210175" y="76200"/>
          <a:ext cx="1009650" cy="247650"/>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6</xdr:col>
      <xdr:colOff>76200</xdr:colOff>
      <xdr:row>0</xdr:row>
      <xdr:rowOff>76200</xdr:rowOff>
    </xdr:from>
    <xdr:to>
      <xdr:col>7</xdr:col>
      <xdr:colOff>95250</xdr:colOff>
      <xdr:row>1</xdr:row>
      <xdr:rowOff>171450</xdr:rowOff>
    </xdr:to>
    <xdr:pic>
      <xdr:nvPicPr>
        <xdr:cNvPr id="3" name="cmdPublicera1"/>
        <xdr:cNvPicPr preferRelativeResize="1">
          <a:picLocks noChangeAspect="1"/>
        </xdr:cNvPicPr>
      </xdr:nvPicPr>
      <xdr:blipFill>
        <a:blip r:embed="rId3"/>
        <a:stretch>
          <a:fillRect/>
        </a:stretch>
      </xdr:blipFill>
      <xdr:spPr>
        <a:xfrm>
          <a:off x="4124325" y="76200"/>
          <a:ext cx="1009650" cy="247650"/>
        </a:xfrm>
        <a:prstGeom prst="rect">
          <a:avLst/>
        </a:prstGeom>
        <a:noFill/>
        <a:ln w="9525" cmpd="sng">
          <a:noFill/>
        </a:ln>
      </xdr:spPr>
    </xdr:pic>
    <xdr:clientData fPrintsWithSheet="0"/>
  </xdr:twoCellAnchor>
  <xdr:twoCellAnchor editAs="oneCell">
    <xdr:from>
      <xdr:col>3</xdr:col>
      <xdr:colOff>1038225</xdr:colOff>
      <xdr:row>0</xdr:row>
      <xdr:rowOff>76200</xdr:rowOff>
    </xdr:from>
    <xdr:to>
      <xdr:col>6</xdr:col>
      <xdr:colOff>9525</xdr:colOff>
      <xdr:row>1</xdr:row>
      <xdr:rowOff>171450</xdr:rowOff>
    </xdr:to>
    <xdr:pic>
      <xdr:nvPicPr>
        <xdr:cNvPr id="4" name="cmdKassaFlode1"/>
        <xdr:cNvPicPr preferRelativeResize="1">
          <a:picLocks noChangeAspect="1"/>
        </xdr:cNvPicPr>
      </xdr:nvPicPr>
      <xdr:blipFill>
        <a:blip r:embed="rId4"/>
        <a:stretch>
          <a:fillRect/>
        </a:stretch>
      </xdr:blipFill>
      <xdr:spPr>
        <a:xfrm>
          <a:off x="3048000" y="76200"/>
          <a:ext cx="1009650"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523875</xdr:colOff>
      <xdr:row>2</xdr:row>
      <xdr:rowOff>142875</xdr:rowOff>
    </xdr:to>
    <xdr:pic>
      <xdr:nvPicPr>
        <xdr:cNvPr id="1" name="Picture 9" descr="HSB_logo_BLACK"/>
        <xdr:cNvPicPr preferRelativeResize="1">
          <a:picLocks noChangeAspect="1"/>
        </xdr:cNvPicPr>
      </xdr:nvPicPr>
      <xdr:blipFill>
        <a:blip r:embed="rId1"/>
        <a:stretch>
          <a:fillRect/>
        </a:stretch>
      </xdr:blipFill>
      <xdr:spPr>
        <a:xfrm>
          <a:off x="0" y="28575"/>
          <a:ext cx="523875" cy="514350"/>
        </a:xfrm>
        <a:prstGeom prst="rect">
          <a:avLst/>
        </a:prstGeom>
        <a:noFill/>
        <a:ln w="9525" cmpd="sng">
          <a:noFill/>
        </a:ln>
      </xdr:spPr>
    </xdr:pic>
    <xdr:clientData/>
  </xdr:twoCellAnchor>
  <xdr:twoCellAnchor editAs="oneCell">
    <xdr:from>
      <xdr:col>8</xdr:col>
      <xdr:colOff>0</xdr:colOff>
      <xdr:row>0</xdr:row>
      <xdr:rowOff>76200</xdr:rowOff>
    </xdr:from>
    <xdr:to>
      <xdr:col>9</xdr:col>
      <xdr:colOff>19050</xdr:colOff>
      <xdr:row>1</xdr:row>
      <xdr:rowOff>171450</xdr:rowOff>
    </xdr:to>
    <xdr:pic>
      <xdr:nvPicPr>
        <xdr:cNvPr id="2" name="cmdSkrivUt2"/>
        <xdr:cNvPicPr preferRelativeResize="1">
          <a:picLocks noChangeAspect="1"/>
        </xdr:cNvPicPr>
      </xdr:nvPicPr>
      <xdr:blipFill>
        <a:blip r:embed="rId2"/>
        <a:stretch>
          <a:fillRect/>
        </a:stretch>
      </xdr:blipFill>
      <xdr:spPr>
        <a:xfrm>
          <a:off x="5210175" y="76200"/>
          <a:ext cx="1009650" cy="247650"/>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6</xdr:col>
      <xdr:colOff>76200</xdr:colOff>
      <xdr:row>0</xdr:row>
      <xdr:rowOff>76200</xdr:rowOff>
    </xdr:from>
    <xdr:to>
      <xdr:col>7</xdr:col>
      <xdr:colOff>95250</xdr:colOff>
      <xdr:row>1</xdr:row>
      <xdr:rowOff>171450</xdr:rowOff>
    </xdr:to>
    <xdr:pic>
      <xdr:nvPicPr>
        <xdr:cNvPr id="3" name="cmdPublicera2"/>
        <xdr:cNvPicPr preferRelativeResize="1">
          <a:picLocks noChangeAspect="1"/>
        </xdr:cNvPicPr>
      </xdr:nvPicPr>
      <xdr:blipFill>
        <a:blip r:embed="rId3"/>
        <a:stretch>
          <a:fillRect/>
        </a:stretch>
      </xdr:blipFill>
      <xdr:spPr>
        <a:xfrm>
          <a:off x="4124325" y="76200"/>
          <a:ext cx="1009650" cy="247650"/>
        </a:xfrm>
        <a:prstGeom prst="rect">
          <a:avLst/>
        </a:prstGeom>
        <a:noFill/>
        <a:ln w="9525" cmpd="sng">
          <a:noFill/>
        </a:ln>
      </xdr:spPr>
    </xdr:pic>
    <xdr:clientData fPrintsWithSheet="0"/>
  </xdr:twoCellAnchor>
  <xdr:twoCellAnchor editAs="oneCell">
    <xdr:from>
      <xdr:col>3</xdr:col>
      <xdr:colOff>1038225</xdr:colOff>
      <xdr:row>0</xdr:row>
      <xdr:rowOff>76200</xdr:rowOff>
    </xdr:from>
    <xdr:to>
      <xdr:col>6</xdr:col>
      <xdr:colOff>9525</xdr:colOff>
      <xdr:row>1</xdr:row>
      <xdr:rowOff>171450</xdr:rowOff>
    </xdr:to>
    <xdr:pic>
      <xdr:nvPicPr>
        <xdr:cNvPr id="4" name="cmdKassaFlode2"/>
        <xdr:cNvPicPr preferRelativeResize="1">
          <a:picLocks noChangeAspect="1"/>
        </xdr:cNvPicPr>
      </xdr:nvPicPr>
      <xdr:blipFill>
        <a:blip r:embed="rId4"/>
        <a:stretch>
          <a:fillRect/>
        </a:stretch>
      </xdr:blipFill>
      <xdr:spPr>
        <a:xfrm>
          <a:off x="3048000" y="76200"/>
          <a:ext cx="1009650"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523875</xdr:colOff>
      <xdr:row>2</xdr:row>
      <xdr:rowOff>142875</xdr:rowOff>
    </xdr:to>
    <xdr:pic>
      <xdr:nvPicPr>
        <xdr:cNvPr id="1" name="Picture 52" descr="HSB_logo_BLACK"/>
        <xdr:cNvPicPr preferRelativeResize="1">
          <a:picLocks noChangeAspect="1"/>
        </xdr:cNvPicPr>
      </xdr:nvPicPr>
      <xdr:blipFill>
        <a:blip r:embed="rId1"/>
        <a:stretch>
          <a:fillRect/>
        </a:stretch>
      </xdr:blipFill>
      <xdr:spPr>
        <a:xfrm>
          <a:off x="0" y="28575"/>
          <a:ext cx="523875" cy="514350"/>
        </a:xfrm>
        <a:prstGeom prst="rect">
          <a:avLst/>
        </a:prstGeom>
        <a:noFill/>
        <a:ln w="9525" cmpd="sng">
          <a:noFill/>
        </a:ln>
      </xdr:spPr>
    </xdr:pic>
    <xdr:clientData/>
  </xdr:twoCellAnchor>
  <xdr:twoCellAnchor editAs="oneCell">
    <xdr:from>
      <xdr:col>13</xdr:col>
      <xdr:colOff>66675</xdr:colOff>
      <xdr:row>0</xdr:row>
      <xdr:rowOff>76200</xdr:rowOff>
    </xdr:from>
    <xdr:to>
      <xdr:col>14</xdr:col>
      <xdr:colOff>400050</xdr:colOff>
      <xdr:row>1</xdr:row>
      <xdr:rowOff>171450</xdr:rowOff>
    </xdr:to>
    <xdr:pic>
      <xdr:nvPicPr>
        <xdr:cNvPr id="2" name="cmdKassaFlode"/>
        <xdr:cNvPicPr preferRelativeResize="1">
          <a:picLocks noChangeAspect="1"/>
        </xdr:cNvPicPr>
      </xdr:nvPicPr>
      <xdr:blipFill>
        <a:blip r:embed="rId2"/>
        <a:stretch>
          <a:fillRect/>
        </a:stretch>
      </xdr:blipFill>
      <xdr:spPr>
        <a:xfrm>
          <a:off x="9572625" y="76200"/>
          <a:ext cx="1009650" cy="247650"/>
        </a:xfrm>
        <a:prstGeom prst="rect">
          <a:avLst/>
        </a:prstGeom>
        <a:noFill/>
        <a:ln w="9525" cmpd="sng">
          <a:noFill/>
        </a:ln>
      </xdr:spPr>
    </xdr:pic>
    <xdr:clientData fPrintsWithSheet="0"/>
  </xdr:twoCellAnchor>
  <xdr:twoCellAnchor editAs="oneCell">
    <xdr:from>
      <xdr:col>18</xdr:col>
      <xdr:colOff>66675</xdr:colOff>
      <xdr:row>0</xdr:row>
      <xdr:rowOff>76200</xdr:rowOff>
    </xdr:from>
    <xdr:to>
      <xdr:col>19</xdr:col>
      <xdr:colOff>466725</xdr:colOff>
      <xdr:row>1</xdr:row>
      <xdr:rowOff>171450</xdr:rowOff>
    </xdr:to>
    <xdr:pic>
      <xdr:nvPicPr>
        <xdr:cNvPr id="3" name="cmdSkrivUt"/>
        <xdr:cNvPicPr preferRelativeResize="1">
          <a:picLocks noChangeAspect="1"/>
        </xdr:cNvPicPr>
      </xdr:nvPicPr>
      <xdr:blipFill>
        <a:blip r:embed="rId3"/>
        <a:stretch>
          <a:fillRect/>
        </a:stretch>
      </xdr:blipFill>
      <xdr:spPr>
        <a:xfrm>
          <a:off x="12753975" y="76200"/>
          <a:ext cx="1009650" cy="247650"/>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13</xdr:col>
      <xdr:colOff>238125</xdr:colOff>
      <xdr:row>0</xdr:row>
      <xdr:rowOff>76200</xdr:rowOff>
    </xdr:from>
    <xdr:to>
      <xdr:col>14</xdr:col>
      <xdr:colOff>571500</xdr:colOff>
      <xdr:row>1</xdr:row>
      <xdr:rowOff>171450</xdr:rowOff>
    </xdr:to>
    <xdr:pic>
      <xdr:nvPicPr>
        <xdr:cNvPr id="4" name="cmdPublicera"/>
        <xdr:cNvPicPr preferRelativeResize="1">
          <a:picLocks noChangeAspect="1"/>
        </xdr:cNvPicPr>
      </xdr:nvPicPr>
      <xdr:blipFill>
        <a:blip r:embed="rId4"/>
        <a:stretch>
          <a:fillRect/>
        </a:stretch>
      </xdr:blipFill>
      <xdr:spPr>
        <a:xfrm>
          <a:off x="9744075" y="76200"/>
          <a:ext cx="1009650" cy="247650"/>
        </a:xfrm>
        <a:prstGeom prst="rect">
          <a:avLst/>
        </a:prstGeom>
        <a:noFill/>
        <a:ln w="9525" cmpd="sng">
          <a:noFill/>
        </a:ln>
      </xdr:spPr>
    </xdr:pic>
    <xdr:clientData fPrintsWithSheet="0"/>
  </xdr:twoCellAnchor>
  <xdr:twoCellAnchor editAs="oneCell">
    <xdr:from>
      <xdr:col>7</xdr:col>
      <xdr:colOff>114300</xdr:colOff>
      <xdr:row>0</xdr:row>
      <xdr:rowOff>76200</xdr:rowOff>
    </xdr:from>
    <xdr:to>
      <xdr:col>8</xdr:col>
      <xdr:colOff>952500</xdr:colOff>
      <xdr:row>1</xdr:row>
      <xdr:rowOff>171450</xdr:rowOff>
    </xdr:to>
    <xdr:pic>
      <xdr:nvPicPr>
        <xdr:cNvPr id="5" name="cmdSkrivUt3"/>
        <xdr:cNvPicPr preferRelativeResize="1">
          <a:picLocks noChangeAspect="1"/>
        </xdr:cNvPicPr>
      </xdr:nvPicPr>
      <xdr:blipFill>
        <a:blip r:embed="rId5"/>
        <a:stretch>
          <a:fillRect/>
        </a:stretch>
      </xdr:blipFill>
      <xdr:spPr>
        <a:xfrm>
          <a:off x="5181600" y="76200"/>
          <a:ext cx="1009650" cy="247650"/>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4</xdr:col>
      <xdr:colOff>600075</xdr:colOff>
      <xdr:row>0</xdr:row>
      <xdr:rowOff>76200</xdr:rowOff>
    </xdr:from>
    <xdr:to>
      <xdr:col>5</xdr:col>
      <xdr:colOff>1000125</xdr:colOff>
      <xdr:row>1</xdr:row>
      <xdr:rowOff>171450</xdr:rowOff>
    </xdr:to>
    <xdr:pic>
      <xdr:nvPicPr>
        <xdr:cNvPr id="6" name="cmdKassaFlode3"/>
        <xdr:cNvPicPr preferRelativeResize="1">
          <a:picLocks noChangeAspect="1"/>
        </xdr:cNvPicPr>
      </xdr:nvPicPr>
      <xdr:blipFill>
        <a:blip r:embed="rId6"/>
        <a:stretch>
          <a:fillRect/>
        </a:stretch>
      </xdr:blipFill>
      <xdr:spPr>
        <a:xfrm>
          <a:off x="3028950" y="76200"/>
          <a:ext cx="1009650" cy="247650"/>
        </a:xfrm>
        <a:prstGeom prst="rect">
          <a:avLst/>
        </a:prstGeom>
        <a:noFill/>
        <a:ln w="9525" cmpd="sng">
          <a:noFill/>
        </a:ln>
      </xdr:spPr>
    </xdr:pic>
    <xdr:clientData fPrintsWithSheet="0"/>
  </xdr:twoCellAnchor>
  <xdr:twoCellAnchor editAs="oneCell">
    <xdr:from>
      <xdr:col>5</xdr:col>
      <xdr:colOff>1066800</xdr:colOff>
      <xdr:row>0</xdr:row>
      <xdr:rowOff>76200</xdr:rowOff>
    </xdr:from>
    <xdr:to>
      <xdr:col>7</xdr:col>
      <xdr:colOff>47625</xdr:colOff>
      <xdr:row>1</xdr:row>
      <xdr:rowOff>171450</xdr:rowOff>
    </xdr:to>
    <xdr:pic>
      <xdr:nvPicPr>
        <xdr:cNvPr id="7" name="cmdPublicera3"/>
        <xdr:cNvPicPr preferRelativeResize="1">
          <a:picLocks noChangeAspect="1"/>
        </xdr:cNvPicPr>
      </xdr:nvPicPr>
      <xdr:blipFill>
        <a:blip r:embed="rId7"/>
        <a:stretch>
          <a:fillRect/>
        </a:stretch>
      </xdr:blipFill>
      <xdr:spPr>
        <a:xfrm>
          <a:off x="4105275" y="76200"/>
          <a:ext cx="1009650" cy="2476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523875</xdr:colOff>
      <xdr:row>2</xdr:row>
      <xdr:rowOff>142875</xdr:rowOff>
    </xdr:to>
    <xdr:pic>
      <xdr:nvPicPr>
        <xdr:cNvPr id="1" name="Picture 12" descr="HSB_logo_BLACK"/>
        <xdr:cNvPicPr preferRelativeResize="1">
          <a:picLocks noChangeAspect="1"/>
        </xdr:cNvPicPr>
      </xdr:nvPicPr>
      <xdr:blipFill>
        <a:blip r:embed="rId1"/>
        <a:stretch>
          <a:fillRect/>
        </a:stretch>
      </xdr:blipFill>
      <xdr:spPr>
        <a:xfrm>
          <a:off x="0" y="28575"/>
          <a:ext cx="523875" cy="514350"/>
        </a:xfrm>
        <a:prstGeom prst="rect">
          <a:avLst/>
        </a:prstGeom>
        <a:noFill/>
        <a:ln w="9525" cmpd="sng">
          <a:noFill/>
        </a:ln>
      </xdr:spPr>
    </xdr:pic>
    <xdr:clientData/>
  </xdr:twoCellAnchor>
  <xdr:twoCellAnchor editAs="oneCell">
    <xdr:from>
      <xdr:col>6</xdr:col>
      <xdr:colOff>95250</xdr:colOff>
      <xdr:row>0</xdr:row>
      <xdr:rowOff>76200</xdr:rowOff>
    </xdr:from>
    <xdr:to>
      <xdr:col>9</xdr:col>
      <xdr:colOff>38100</xdr:colOff>
      <xdr:row>1</xdr:row>
      <xdr:rowOff>171450</xdr:rowOff>
    </xdr:to>
    <xdr:pic>
      <xdr:nvPicPr>
        <xdr:cNvPr id="2" name="cmdSkrivUt4"/>
        <xdr:cNvPicPr preferRelativeResize="1">
          <a:picLocks noChangeAspect="1"/>
        </xdr:cNvPicPr>
      </xdr:nvPicPr>
      <xdr:blipFill>
        <a:blip r:embed="rId2"/>
        <a:stretch>
          <a:fillRect/>
        </a:stretch>
      </xdr:blipFill>
      <xdr:spPr>
        <a:xfrm>
          <a:off x="5200650" y="76200"/>
          <a:ext cx="1009650" cy="247650"/>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4</xdr:col>
      <xdr:colOff>733425</xdr:colOff>
      <xdr:row>0</xdr:row>
      <xdr:rowOff>76200</xdr:rowOff>
    </xdr:from>
    <xdr:to>
      <xdr:col>6</xdr:col>
      <xdr:colOff>9525</xdr:colOff>
      <xdr:row>1</xdr:row>
      <xdr:rowOff>171450</xdr:rowOff>
    </xdr:to>
    <xdr:pic>
      <xdr:nvPicPr>
        <xdr:cNvPr id="3" name="cmdPublicera4"/>
        <xdr:cNvPicPr preferRelativeResize="1">
          <a:picLocks noChangeAspect="1"/>
        </xdr:cNvPicPr>
      </xdr:nvPicPr>
      <xdr:blipFill>
        <a:blip r:embed="rId3"/>
        <a:stretch>
          <a:fillRect/>
        </a:stretch>
      </xdr:blipFill>
      <xdr:spPr>
        <a:xfrm>
          <a:off x="4105275" y="76200"/>
          <a:ext cx="1009650" cy="247650"/>
        </a:xfrm>
        <a:prstGeom prst="rect">
          <a:avLst/>
        </a:prstGeom>
        <a:noFill/>
        <a:ln w="9525" cmpd="sng">
          <a:noFill/>
        </a:ln>
      </xdr:spPr>
    </xdr:pic>
    <xdr:clientData fPrintsWithSheet="0"/>
  </xdr:twoCellAnchor>
  <xdr:twoCellAnchor editAs="oneCell">
    <xdr:from>
      <xdr:col>3</xdr:col>
      <xdr:colOff>495300</xdr:colOff>
      <xdr:row>0</xdr:row>
      <xdr:rowOff>76200</xdr:rowOff>
    </xdr:from>
    <xdr:to>
      <xdr:col>4</xdr:col>
      <xdr:colOff>676275</xdr:colOff>
      <xdr:row>1</xdr:row>
      <xdr:rowOff>171450</xdr:rowOff>
    </xdr:to>
    <xdr:pic>
      <xdr:nvPicPr>
        <xdr:cNvPr id="4" name="cmdKassaFlode4"/>
        <xdr:cNvPicPr preferRelativeResize="1">
          <a:picLocks noChangeAspect="1"/>
        </xdr:cNvPicPr>
      </xdr:nvPicPr>
      <xdr:blipFill>
        <a:blip r:embed="rId4"/>
        <a:stretch>
          <a:fillRect/>
        </a:stretch>
      </xdr:blipFill>
      <xdr:spPr>
        <a:xfrm>
          <a:off x="3038475" y="76200"/>
          <a:ext cx="1009650" cy="2476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76200</xdr:rowOff>
    </xdr:from>
    <xdr:to>
      <xdr:col>9</xdr:col>
      <xdr:colOff>19050</xdr:colOff>
      <xdr:row>1</xdr:row>
      <xdr:rowOff>171450</xdr:rowOff>
    </xdr:to>
    <xdr:pic>
      <xdr:nvPicPr>
        <xdr:cNvPr id="1" name="cmdSkrivUt7"/>
        <xdr:cNvPicPr preferRelativeResize="1">
          <a:picLocks noChangeAspect="1"/>
        </xdr:cNvPicPr>
      </xdr:nvPicPr>
      <xdr:blipFill>
        <a:blip r:embed="rId1"/>
        <a:stretch>
          <a:fillRect/>
        </a:stretch>
      </xdr:blipFill>
      <xdr:spPr>
        <a:xfrm>
          <a:off x="5210175" y="76200"/>
          <a:ext cx="1009650" cy="247650"/>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6</xdr:col>
      <xdr:colOff>76200</xdr:colOff>
      <xdr:row>0</xdr:row>
      <xdr:rowOff>76200</xdr:rowOff>
    </xdr:from>
    <xdr:to>
      <xdr:col>7</xdr:col>
      <xdr:colOff>95250</xdr:colOff>
      <xdr:row>1</xdr:row>
      <xdr:rowOff>171450</xdr:rowOff>
    </xdr:to>
    <xdr:pic>
      <xdr:nvPicPr>
        <xdr:cNvPr id="2" name="cmdPublicera7"/>
        <xdr:cNvPicPr preferRelativeResize="1">
          <a:picLocks noChangeAspect="1"/>
        </xdr:cNvPicPr>
      </xdr:nvPicPr>
      <xdr:blipFill>
        <a:blip r:embed="rId2"/>
        <a:stretch>
          <a:fillRect/>
        </a:stretch>
      </xdr:blipFill>
      <xdr:spPr>
        <a:xfrm>
          <a:off x="4124325" y="76200"/>
          <a:ext cx="1009650" cy="247650"/>
        </a:xfrm>
        <a:prstGeom prst="rect">
          <a:avLst/>
        </a:prstGeom>
        <a:noFill/>
        <a:ln w="9525" cmpd="sng">
          <a:noFill/>
        </a:ln>
      </xdr:spPr>
    </xdr:pic>
    <xdr:clientData fPrintsWithSheet="0"/>
  </xdr:twoCellAnchor>
  <xdr:twoCellAnchor editAs="oneCell">
    <xdr:from>
      <xdr:col>3</xdr:col>
      <xdr:colOff>1038225</xdr:colOff>
      <xdr:row>0</xdr:row>
      <xdr:rowOff>76200</xdr:rowOff>
    </xdr:from>
    <xdr:to>
      <xdr:col>6</xdr:col>
      <xdr:colOff>9525</xdr:colOff>
      <xdr:row>1</xdr:row>
      <xdr:rowOff>171450</xdr:rowOff>
    </xdr:to>
    <xdr:pic>
      <xdr:nvPicPr>
        <xdr:cNvPr id="3" name="cmdKassaFlode7"/>
        <xdr:cNvPicPr preferRelativeResize="1">
          <a:picLocks noChangeAspect="1"/>
        </xdr:cNvPicPr>
      </xdr:nvPicPr>
      <xdr:blipFill>
        <a:blip r:embed="rId3"/>
        <a:stretch>
          <a:fillRect/>
        </a:stretch>
      </xdr:blipFill>
      <xdr:spPr>
        <a:xfrm>
          <a:off x="3048000" y="76200"/>
          <a:ext cx="1009650"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A9:I37"/>
  <sheetViews>
    <sheetView tabSelected="1" zoomScalePageLayoutView="0" workbookViewId="0" topLeftCell="A1">
      <selection activeCell="A10" sqref="A10"/>
    </sheetView>
  </sheetViews>
  <sheetFormatPr defaultColWidth="9.00390625" defaultRowHeight="15.75"/>
  <cols>
    <col min="1" max="1" width="39.25390625" style="23" customWidth="1"/>
    <col min="2" max="2" width="3.375" style="23" customWidth="1"/>
    <col min="3" max="3" width="34.625" style="23" customWidth="1"/>
    <col min="4" max="4" width="11.375" style="23" customWidth="1"/>
    <col min="5" max="5" width="2.625" style="23" customWidth="1"/>
    <col min="6" max="6" width="9.75390625" style="23" customWidth="1"/>
    <col min="7" max="16384" width="9.00390625" style="23" customWidth="1"/>
  </cols>
  <sheetData>
    <row r="1" ht="15.75"/>
    <row r="2" ht="15.75"/>
    <row r="3" ht="15.75"/>
    <row r="4" ht="15.75"/>
    <row r="5" ht="15.75"/>
    <row r="6" ht="15.75"/>
    <row r="7" ht="15.75"/>
    <row r="8" ht="15.75"/>
    <row r="9" ht="33">
      <c r="E9" s="24"/>
    </row>
    <row r="10" spans="1:5" ht="33">
      <c r="A10" s="25" t="str">
        <f>"Bokslut för BRF "&amp;BRF_Namn</f>
        <v>Bokslut för BRF Munken</v>
      </c>
      <c r="D10"/>
      <c r="E10" s="26"/>
    </row>
    <row r="11" spans="1:3" ht="25.5">
      <c r="A11" s="65">
        <f>(Ar_2)+1</f>
        <v>39083</v>
      </c>
      <c r="B11" s="39" t="s">
        <v>53</v>
      </c>
      <c r="C11" s="65">
        <f>Ar_1</f>
        <v>39447</v>
      </c>
    </row>
    <row r="12" ht="15.75">
      <c r="E12" s="27"/>
    </row>
    <row r="13" spans="1:9" ht="35.25" thickBot="1">
      <c r="A13" s="37" t="s">
        <v>47</v>
      </c>
      <c r="B13" s="38"/>
      <c r="C13" s="38"/>
      <c r="D13" s="1"/>
      <c r="E13" s="52"/>
      <c r="F13" s="35"/>
      <c r="G13" s="35"/>
      <c r="H13" s="35"/>
      <c r="I13" s="35"/>
    </row>
    <row r="14" spans="4:5" ht="15.75">
      <c r="D14"/>
      <c r="E14" s="27"/>
    </row>
    <row r="15" spans="4:5" ht="15.75">
      <c r="D15"/>
      <c r="E15" s="27"/>
    </row>
    <row r="16" spans="1:5" ht="15.75">
      <c r="A16" s="28"/>
      <c r="E16"/>
    </row>
    <row r="17" spans="1:5" ht="15.75">
      <c r="A17" s="29"/>
      <c r="B17"/>
      <c r="E17"/>
    </row>
    <row r="18" spans="1:9" ht="15.75">
      <c r="A18" s="30"/>
      <c r="B18" s="33"/>
      <c r="C18" s="31"/>
      <c r="D18" s="31"/>
      <c r="E18" s="32"/>
      <c r="F18" s="31"/>
      <c r="G18" s="31"/>
      <c r="H18" s="31"/>
      <c r="I18" s="31"/>
    </row>
    <row r="19" spans="1:9" ht="15.75">
      <c r="A19" s="30"/>
      <c r="B19" s="30"/>
      <c r="C19" s="31"/>
      <c r="D19" s="31"/>
      <c r="E19" s="31"/>
      <c r="F19" s="31"/>
      <c r="G19" s="31"/>
      <c r="H19" s="31"/>
      <c r="I19" s="31"/>
    </row>
    <row r="20" spans="1:9" ht="15.75">
      <c r="A20" s="30"/>
      <c r="B20" s="30"/>
      <c r="C20" s="31"/>
      <c r="D20" s="31"/>
      <c r="E20" s="31"/>
      <c r="F20" s="31"/>
      <c r="G20" s="31"/>
      <c r="H20" s="31"/>
      <c r="I20" s="31"/>
    </row>
    <row r="21" spans="1:9" ht="15.75">
      <c r="A21" s="30"/>
      <c r="B21" s="30"/>
      <c r="C21" s="31"/>
      <c r="D21" s="31"/>
      <c r="E21" s="32"/>
      <c r="F21" s="31"/>
      <c r="G21" s="31"/>
      <c r="H21" s="31"/>
      <c r="I21" s="31"/>
    </row>
    <row r="22" spans="1:9" ht="15.75">
      <c r="A22" s="30"/>
      <c r="B22" s="30"/>
      <c r="C22" s="31"/>
      <c r="D22" s="31"/>
      <c r="E22" s="32"/>
      <c r="F22" s="31"/>
      <c r="G22" s="31"/>
      <c r="H22" s="31"/>
      <c r="I22" s="31"/>
    </row>
    <row r="23" spans="1:9" ht="15.75">
      <c r="A23" s="30"/>
      <c r="B23" s="30"/>
      <c r="C23" s="31"/>
      <c r="D23" s="31"/>
      <c r="E23" s="31"/>
      <c r="F23" s="31"/>
      <c r="G23" s="31"/>
      <c r="H23" s="31"/>
      <c r="I23" s="31"/>
    </row>
    <row r="24" spans="1:9" ht="15.75">
      <c r="A24" s="30"/>
      <c r="B24" s="30"/>
      <c r="C24" s="31"/>
      <c r="D24" s="31"/>
      <c r="E24" s="31"/>
      <c r="F24" s="31"/>
      <c r="G24" s="31"/>
      <c r="H24" s="31"/>
      <c r="I24" s="31"/>
    </row>
    <row r="25" spans="1:9" ht="15.75">
      <c r="A25" s="30"/>
      <c r="B25" s="30"/>
      <c r="C25" s="31"/>
      <c r="D25" s="31"/>
      <c r="E25" s="31"/>
      <c r="F25" s="31"/>
      <c r="G25" s="31"/>
      <c r="H25" s="31"/>
      <c r="I25" s="31"/>
    </row>
    <row r="26" spans="1:9" ht="15.75">
      <c r="A26" s="30"/>
      <c r="B26" s="30"/>
      <c r="C26" s="31"/>
      <c r="D26" s="31"/>
      <c r="E26" s="31"/>
      <c r="F26" s="31"/>
      <c r="G26" s="31"/>
      <c r="H26" s="31"/>
      <c r="I26" s="31"/>
    </row>
    <row r="27" spans="1:9" ht="15.75">
      <c r="A27" s="34"/>
      <c r="B27" s="35"/>
      <c r="C27" s="35"/>
      <c r="D27" s="35"/>
      <c r="E27" s="35"/>
      <c r="F27" s="35"/>
      <c r="G27" s="35"/>
      <c r="H27" s="35"/>
      <c r="I27" s="35"/>
    </row>
    <row r="28" spans="1:9" ht="15.75">
      <c r="A28" s="36"/>
      <c r="B28" s="35"/>
      <c r="C28" s="35"/>
      <c r="D28" s="35"/>
      <c r="E28" s="35"/>
      <c r="F28" s="35"/>
      <c r="G28" s="35"/>
      <c r="H28" s="35"/>
      <c r="I28" s="35"/>
    </row>
    <row r="29" spans="1:9" ht="15.75">
      <c r="A29" s="30"/>
      <c r="B29" s="30"/>
      <c r="C29" s="31"/>
      <c r="D29" s="31"/>
      <c r="E29" s="31"/>
      <c r="F29" s="31"/>
      <c r="G29" s="31"/>
      <c r="H29" s="31"/>
      <c r="I29" s="31"/>
    </row>
    <row r="30" spans="1:9" ht="15.75">
      <c r="A30" s="30"/>
      <c r="B30" s="30"/>
      <c r="C30" s="31"/>
      <c r="D30" s="31"/>
      <c r="E30" s="31"/>
      <c r="F30" s="31"/>
      <c r="G30" s="31"/>
      <c r="H30" s="31"/>
      <c r="I30" s="31"/>
    </row>
    <row r="31" spans="1:9" ht="15.75">
      <c r="A31" s="30"/>
      <c r="B31" s="30"/>
      <c r="C31" s="31"/>
      <c r="D31" s="31"/>
      <c r="E31" s="31"/>
      <c r="F31" s="31"/>
      <c r="G31" s="31"/>
      <c r="H31" s="31"/>
      <c r="I31" s="31"/>
    </row>
    <row r="32" spans="1:9" ht="15.75">
      <c r="A32" s="30"/>
      <c r="B32" s="30"/>
      <c r="C32" s="31"/>
      <c r="D32" s="31"/>
      <c r="E32" s="31"/>
      <c r="F32" s="31"/>
      <c r="G32" s="31"/>
      <c r="H32" s="31"/>
      <c r="I32" s="31"/>
    </row>
    <row r="33" spans="1:9" ht="15.75">
      <c r="A33" s="30"/>
      <c r="B33" s="30"/>
      <c r="C33" s="31"/>
      <c r="D33" s="31"/>
      <c r="E33" s="31"/>
      <c r="F33" s="31"/>
      <c r="G33" s="31"/>
      <c r="H33" s="31"/>
      <c r="I33" s="31"/>
    </row>
    <row r="34" spans="1:9" ht="15.75">
      <c r="A34" s="30"/>
      <c r="B34" s="30"/>
      <c r="C34" s="31"/>
      <c r="D34" s="31"/>
      <c r="E34" s="31"/>
      <c r="F34" s="31"/>
      <c r="G34" s="31"/>
      <c r="H34" s="31"/>
      <c r="I34" s="31"/>
    </row>
    <row r="35" spans="1:9" ht="15.75">
      <c r="A35" s="30"/>
      <c r="B35" s="30"/>
      <c r="C35" s="31"/>
      <c r="D35" s="31"/>
      <c r="E35" s="31"/>
      <c r="F35" s="31"/>
      <c r="G35" s="31"/>
      <c r="H35" s="31"/>
      <c r="I35" s="31"/>
    </row>
    <row r="36" spans="1:9" ht="15.75">
      <c r="A36" s="30"/>
      <c r="B36" s="30"/>
      <c r="C36" s="31"/>
      <c r="D36" s="31"/>
      <c r="E36" s="31"/>
      <c r="F36" s="31"/>
      <c r="G36" s="31"/>
      <c r="H36" s="31"/>
      <c r="I36" s="31"/>
    </row>
    <row r="37" spans="1:9" ht="15.75">
      <c r="A37" s="30"/>
      <c r="B37" s="30"/>
      <c r="C37" s="31"/>
      <c r="D37" s="31"/>
      <c r="E37" s="31"/>
      <c r="F37" s="31"/>
      <c r="G37" s="31"/>
      <c r="H37" s="31"/>
      <c r="I37" s="31"/>
    </row>
    <row r="38" ht="33" customHeight="1"/>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2"/>
  <dimension ref="A1:K35"/>
  <sheetViews>
    <sheetView zoomScalePageLayoutView="0" workbookViewId="0" topLeftCell="A1">
      <selection activeCell="L10" sqref="L10"/>
    </sheetView>
  </sheetViews>
  <sheetFormatPr defaultColWidth="9.00390625" defaultRowHeight="15.75"/>
  <cols>
    <col min="1" max="1" width="7.875" style="131" customWidth="1"/>
    <col min="2" max="3" width="9.25390625" style="131" customWidth="1"/>
    <col min="4" max="4" width="17.75390625" style="131" customWidth="1"/>
    <col min="5" max="5" width="6.75390625" style="167" customWidth="1"/>
    <col min="6" max="6" width="2.25390625" style="167" customWidth="1"/>
    <col min="7" max="7" width="13.00390625" style="138" customWidth="1"/>
    <col min="8" max="8" width="2.25390625" style="131" customWidth="1"/>
    <col min="9" max="9" width="13.00390625" style="138" customWidth="1"/>
    <col min="10" max="16384" width="9.00390625" style="131" customWidth="1"/>
  </cols>
  <sheetData>
    <row r="1" spans="5:10" ht="12" customHeight="1">
      <c r="E1" s="131"/>
      <c r="F1" s="131"/>
      <c r="G1" s="131"/>
      <c r="H1" s="138"/>
      <c r="I1" s="131"/>
      <c r="J1" s="138"/>
    </row>
    <row r="2" spans="2:10" ht="19.5" customHeight="1">
      <c r="B2" s="139" t="str">
        <f>"HSB:s Brf "&amp;BRF_Namn</f>
        <v>HSB:s Brf Munken</v>
      </c>
      <c r="C2" s="139"/>
      <c r="D2" s="139"/>
      <c r="E2" s="131"/>
      <c r="F2" s="131"/>
      <c r="G2" s="140"/>
      <c r="H2" s="138"/>
      <c r="I2" s="131"/>
      <c r="J2" s="138"/>
    </row>
    <row r="3" spans="5:10" ht="12" customHeight="1">
      <c r="E3" s="131"/>
      <c r="F3" s="131"/>
      <c r="G3" s="131"/>
      <c r="H3" s="138"/>
      <c r="I3" s="131"/>
      <c r="J3" s="138"/>
    </row>
    <row r="4" ht="13.5" customHeight="1"/>
    <row r="5" spans="1:10" ht="19.5" thickBot="1">
      <c r="A5" s="141" t="s">
        <v>10</v>
      </c>
      <c r="B5" s="245"/>
      <c r="C5" s="245"/>
      <c r="D5" s="246"/>
      <c r="E5" s="247"/>
      <c r="F5" s="248"/>
      <c r="G5" s="246">
        <v>39447</v>
      </c>
      <c r="H5" s="249"/>
      <c r="I5" s="246">
        <v>39082</v>
      </c>
      <c r="J5" s="250"/>
    </row>
    <row r="6" spans="5:9" s="135" customFormat="1" ht="12" customHeight="1">
      <c r="E6" s="167"/>
      <c r="F6" s="167"/>
      <c r="G6" s="175"/>
      <c r="I6" s="175"/>
    </row>
    <row r="7" spans="1:9" s="252" customFormat="1" ht="15.75">
      <c r="A7" s="251" t="s">
        <v>62</v>
      </c>
      <c r="E7" s="253" t="s">
        <v>85</v>
      </c>
      <c r="F7" s="254"/>
      <c r="G7" s="255">
        <f>(IF(ISERROR(VillkorAr1_83),0,VillkorAr1_83))*-1</f>
        <v>4138359</v>
      </c>
      <c r="H7" s="255"/>
      <c r="I7" s="255">
        <f>(IF(ISERROR(VillkorAr2_83),0,VillkorAr2_83))*-1</f>
        <v>4121172</v>
      </c>
    </row>
    <row r="8" spans="5:9" s="133" customFormat="1" ht="6.75" customHeight="1">
      <c r="E8" s="256"/>
      <c r="F8" s="256"/>
      <c r="G8" s="222"/>
      <c r="H8" s="164"/>
      <c r="I8" s="222"/>
    </row>
    <row r="9" spans="1:9" s="133" customFormat="1" ht="15.75">
      <c r="A9" s="257" t="s">
        <v>11</v>
      </c>
      <c r="E9" s="256"/>
      <c r="F9" s="256"/>
      <c r="G9" s="222"/>
      <c r="H9" s="164"/>
      <c r="I9" s="222"/>
    </row>
    <row r="10" spans="1:10" s="133" customFormat="1" ht="15.75">
      <c r="A10" s="256" t="s">
        <v>175</v>
      </c>
      <c r="E10" s="256" t="s">
        <v>61</v>
      </c>
      <c r="F10" s="256"/>
      <c r="G10" s="258">
        <f>(IF(ISERROR(VillkorAr1_201),0,VillkorAr1_201))*-1-11800-75000-22500-3000-900</f>
        <v>-1796958</v>
      </c>
      <c r="H10" s="259"/>
      <c r="I10" s="258">
        <f>(IF(ISERROR(VillkorAr2_201),0,VillkorAr2_201))*-1</f>
        <v>-1591061</v>
      </c>
      <c r="J10" s="260"/>
    </row>
    <row r="11" spans="1:10" s="133" customFormat="1" ht="15.75">
      <c r="A11" s="256" t="s">
        <v>144</v>
      </c>
      <c r="E11" s="256"/>
      <c r="F11" s="256"/>
      <c r="G11" s="258">
        <f>(IF(ISERROR(VillkorAr1_85),0,VillkorAr1_85))*-1</f>
        <v>0</v>
      </c>
      <c r="H11" s="259"/>
      <c r="I11" s="258">
        <f>(IF(ISERROR(VillkorAr2_85),0,VillkorAr2_85))*-1</f>
        <v>-118460</v>
      </c>
      <c r="J11" s="260"/>
    </row>
    <row r="12" spans="1:10" s="133" customFormat="1" ht="15.75">
      <c r="A12" s="256" t="s">
        <v>12</v>
      </c>
      <c r="E12" s="256"/>
      <c r="F12" s="256"/>
      <c r="G12" s="258">
        <f>(IF(ISERROR(VillkorAr1_86),0,VillkorAr1_86))*-1</f>
        <v>-352200</v>
      </c>
      <c r="H12" s="259"/>
      <c r="I12" s="258">
        <f>(IF(ISERROR(VillkorAr2_86),0,VillkorAr2_86))*-1</f>
        <v>-223070</v>
      </c>
      <c r="J12" s="260"/>
    </row>
    <row r="13" spans="1:10" s="133" customFormat="1" ht="15.75">
      <c r="A13" s="256" t="s">
        <v>51</v>
      </c>
      <c r="E13" s="256"/>
      <c r="F13" s="256"/>
      <c r="G13" s="258">
        <f>(IF(ISERROR(VillkorAr1_87),0,VillkorAr1_87))*-1</f>
        <v>-421000</v>
      </c>
      <c r="H13" s="259"/>
      <c r="I13" s="258">
        <f>(IF(ISERROR(VillkorAr2_87),0,VillkorAr2_87))*-1</f>
        <v>-421000</v>
      </c>
      <c r="J13" s="260"/>
    </row>
    <row r="14" spans="1:10" s="133" customFormat="1" ht="15.75">
      <c r="A14" s="256" t="s">
        <v>13</v>
      </c>
      <c r="E14" s="256"/>
      <c r="F14" s="256"/>
      <c r="G14" s="261">
        <f>(IF(ISERROR(VillkorAr1_88),0,VillkorAr1_88))*-1</f>
        <v>-370147</v>
      </c>
      <c r="H14" s="259"/>
      <c r="I14" s="261">
        <f>(IF(ISERROR(VillkorAr2_88),0,VillkorAr2_88))*-1</f>
        <v>-368122</v>
      </c>
      <c r="J14" s="260"/>
    </row>
    <row r="15" spans="1:10" s="133" customFormat="1" ht="15.75">
      <c r="A15" s="253" t="s">
        <v>155</v>
      </c>
      <c r="D15" s="260"/>
      <c r="E15" s="256"/>
      <c r="F15" s="256"/>
      <c r="G15" s="258">
        <f>SUM(G10:G14)</f>
        <v>-2940305</v>
      </c>
      <c r="H15" s="259"/>
      <c r="I15" s="258">
        <f>SUM(I10:I14)</f>
        <v>-2721713</v>
      </c>
      <c r="J15" s="260"/>
    </row>
    <row r="16" spans="4:10" s="133" customFormat="1" ht="6.75" customHeight="1" hidden="1">
      <c r="D16" s="260"/>
      <c r="E16" s="256"/>
      <c r="F16" s="256"/>
      <c r="G16" s="258"/>
      <c r="H16" s="259"/>
      <c r="I16" s="258"/>
      <c r="J16" s="260"/>
    </row>
    <row r="17" spans="1:11" ht="15.75" hidden="1">
      <c r="A17" s="251" t="s">
        <v>14</v>
      </c>
      <c r="B17" s="262"/>
      <c r="C17" s="262"/>
      <c r="D17" s="262"/>
      <c r="E17" s="263"/>
      <c r="F17" s="263"/>
      <c r="G17" s="255">
        <f>G7+G15</f>
        <v>1198054</v>
      </c>
      <c r="H17" s="264"/>
      <c r="I17" s="255">
        <f>I7+I15</f>
        <v>1399459</v>
      </c>
      <c r="J17" s="262"/>
      <c r="K17" s="262"/>
    </row>
    <row r="18" spans="7:9" ht="6.75" customHeight="1" hidden="1">
      <c r="G18" s="244"/>
      <c r="H18" s="243"/>
      <c r="I18" s="244"/>
    </row>
    <row r="19" spans="1:9" s="135" customFormat="1" ht="15.75" hidden="1">
      <c r="A19" s="253" t="s">
        <v>55</v>
      </c>
      <c r="E19" s="253" t="s">
        <v>65</v>
      </c>
      <c r="F19" s="253"/>
      <c r="G19" s="265">
        <f>(IF(ISERROR(VillkorAr1_90),0,VillkorAr1_90))*-1</f>
        <v>0</v>
      </c>
      <c r="H19" s="165"/>
      <c r="I19" s="265">
        <f>(IF(ISERROR(VillkorAr2_90),0,VillkorAr2_90))*-1</f>
        <v>0</v>
      </c>
    </row>
    <row r="20" spans="7:9" ht="6.75" customHeight="1">
      <c r="G20" s="244"/>
      <c r="H20" s="243"/>
      <c r="I20" s="244"/>
    </row>
    <row r="21" spans="1:9" ht="15.75">
      <c r="A21" s="251" t="s">
        <v>15</v>
      </c>
      <c r="G21" s="255">
        <f>G17+G19</f>
        <v>1198054</v>
      </c>
      <c r="H21" s="264"/>
      <c r="I21" s="255">
        <f>I17+I19</f>
        <v>1399459</v>
      </c>
    </row>
    <row r="22" spans="7:9" ht="6.75" customHeight="1">
      <c r="G22" s="244"/>
      <c r="H22" s="243"/>
      <c r="I22" s="244"/>
    </row>
    <row r="23" spans="1:9" ht="15.75">
      <c r="A23" s="257" t="s">
        <v>16</v>
      </c>
      <c r="B23" s="242"/>
      <c r="C23" s="242"/>
      <c r="D23" s="242"/>
      <c r="G23" s="244"/>
      <c r="H23" s="243"/>
      <c r="I23" s="244"/>
    </row>
    <row r="24" spans="1:9" ht="31.5" customHeight="1" hidden="1">
      <c r="A24" s="283" t="s">
        <v>156</v>
      </c>
      <c r="B24" s="283"/>
      <c r="C24" s="283"/>
      <c r="D24" s="283"/>
      <c r="E24" s="167" t="s">
        <v>68</v>
      </c>
      <c r="G24" s="265">
        <f>(IF(ISERROR(VillkorAr1_91),0,VillkorAr1_91))*-1</f>
        <v>0</v>
      </c>
      <c r="H24" s="266"/>
      <c r="I24" s="265">
        <f>(IF(ISERROR(VillkorAr2_91),0,VillkorAr2_91))*-1</f>
        <v>0</v>
      </c>
    </row>
    <row r="25" spans="1:9" ht="15.75">
      <c r="A25" s="256" t="s">
        <v>176</v>
      </c>
      <c r="B25" s="242"/>
      <c r="C25" s="242"/>
      <c r="D25" s="242"/>
      <c r="E25" s="167" t="s">
        <v>65</v>
      </c>
      <c r="G25" s="265">
        <f>(IF(ISERROR(VillkorAr1_92),0,VillkorAr1_92))*-1</f>
        <v>146927.65</v>
      </c>
      <c r="H25" s="266"/>
      <c r="I25" s="265">
        <f>(IF(ISERROR(VillkorAr2_92),0,VillkorAr2_92))*-1</f>
        <v>28777.84</v>
      </c>
    </row>
    <row r="26" spans="1:9" ht="15.75">
      <c r="A26" s="256" t="s">
        <v>17</v>
      </c>
      <c r="B26" s="242"/>
      <c r="C26" s="242"/>
      <c r="D26" s="242"/>
      <c r="E26" s="167" t="s">
        <v>68</v>
      </c>
      <c r="G26" s="267">
        <f>(IF(ISERROR(VillkorAr1_124),0,VillkorAr1_124))*-1</f>
        <v>-1222087</v>
      </c>
      <c r="H26" s="266"/>
      <c r="I26" s="267">
        <f>(IF(ISERROR(VillkorAr2_124),0,VillkorAr2_124))*-1</f>
        <v>-516543</v>
      </c>
    </row>
    <row r="27" spans="1:9" ht="15.75">
      <c r="A27" s="253" t="s">
        <v>166</v>
      </c>
      <c r="B27" s="242"/>
      <c r="C27" s="242"/>
      <c r="D27" s="242"/>
      <c r="G27" s="265">
        <f>SUM(G24:G26)</f>
        <v>-1075159.35</v>
      </c>
      <c r="H27" s="266"/>
      <c r="I27" s="265">
        <f>SUM(I24:I26)</f>
        <v>-487765.16</v>
      </c>
    </row>
    <row r="28" spans="7:9" ht="6.75" customHeight="1">
      <c r="G28" s="265"/>
      <c r="H28" s="266"/>
      <c r="I28" s="265"/>
    </row>
    <row r="29" spans="1:9" ht="15.75">
      <c r="A29" s="251" t="s">
        <v>18</v>
      </c>
      <c r="G29" s="255">
        <f>G21+G27</f>
        <v>122894.6499999999</v>
      </c>
      <c r="H29" s="264"/>
      <c r="I29" s="255">
        <f>I21+I27</f>
        <v>911693.8400000001</v>
      </c>
    </row>
    <row r="30" spans="7:9" ht="6.75" customHeight="1">
      <c r="G30" s="265"/>
      <c r="H30" s="266"/>
      <c r="I30" s="265"/>
    </row>
    <row r="31" spans="1:9" ht="15.75" hidden="1">
      <c r="A31" s="253" t="s">
        <v>52</v>
      </c>
      <c r="G31" s="265">
        <f>(IF(ISERROR(VillkorAr1_93),0,VillkorAr1_93))*-1</f>
        <v>0</v>
      </c>
      <c r="H31" s="266"/>
      <c r="I31" s="265">
        <f>(IF(ISERROR(VillkorAr2_93),0,VillkorAr2_93))*-1</f>
        <v>0</v>
      </c>
    </row>
    <row r="32" spans="1:9" ht="15.75">
      <c r="A32" s="253" t="s">
        <v>114</v>
      </c>
      <c r="B32" s="147"/>
      <c r="G32" s="265">
        <f>(IF(ISERROR(VillkorAr1_94),0,VillkorAr1_94))*-1</f>
        <v>-40796</v>
      </c>
      <c r="H32" s="266"/>
      <c r="I32" s="265">
        <f>(IF(ISERROR(VillkorAr2_94),0,VillkorAr2_94))*-1</f>
        <v>-468424</v>
      </c>
    </row>
    <row r="33" spans="7:9" ht="12" customHeight="1">
      <c r="G33" s="265"/>
      <c r="H33" s="266"/>
      <c r="I33" s="265"/>
    </row>
    <row r="34" spans="1:9" ht="18.75">
      <c r="A34" s="268" t="s">
        <v>19</v>
      </c>
      <c r="G34" s="255">
        <f>G29+G31+G32</f>
        <v>82098.6499999999</v>
      </c>
      <c r="H34" s="264"/>
      <c r="I34" s="255">
        <f>I29+I31+I32</f>
        <v>443269.8400000001</v>
      </c>
    </row>
    <row r="35" spans="7:9" ht="15.75">
      <c r="G35" s="244"/>
      <c r="H35" s="173"/>
      <c r="I35" s="244"/>
    </row>
  </sheetData>
  <sheetProtection/>
  <mergeCells count="1">
    <mergeCell ref="A24:D24"/>
  </mergeCells>
  <printOptions/>
  <pageMargins left="0.7086614173228347" right="0.5905511811023623" top="0.5118110236220472" bottom="0.7086614173228347" header="0.5118110236220472" footer="0.2755905511811024"/>
  <pageSetup horizontalDpi="300" verticalDpi="300" orientation="portrait" paperSize="9"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codeName="Blad3"/>
  <dimension ref="A1:J87"/>
  <sheetViews>
    <sheetView zoomScalePageLayoutView="0" workbookViewId="0" topLeftCell="A1">
      <selection activeCell="G5" sqref="G5:I5"/>
    </sheetView>
  </sheetViews>
  <sheetFormatPr defaultColWidth="9.00390625" defaultRowHeight="15.75"/>
  <cols>
    <col min="1" max="1" width="7.875" style="147" customWidth="1"/>
    <col min="2" max="3" width="9.25390625" style="147" customWidth="1"/>
    <col min="4" max="4" width="17.75390625" style="147" customWidth="1"/>
    <col min="5" max="5" width="6.75390625" style="147" customWidth="1"/>
    <col min="6" max="6" width="2.25390625" style="147" customWidth="1"/>
    <col min="7" max="7" width="13.00390625" style="148" customWidth="1"/>
    <col min="8" max="8" width="2.25390625" style="147" customWidth="1"/>
    <col min="9" max="9" width="13.00390625" style="148" customWidth="1"/>
    <col min="10" max="16384" width="9.00390625" style="147" customWidth="1"/>
  </cols>
  <sheetData>
    <row r="1" spans="8:10" s="131" customFormat="1" ht="12" customHeight="1">
      <c r="H1" s="138"/>
      <c r="J1" s="138"/>
    </row>
    <row r="2" spans="2:10" s="131" customFormat="1" ht="19.5" customHeight="1">
      <c r="B2" s="139" t="str">
        <f>"HSB:s Brf "&amp;BRF_Namn</f>
        <v>HSB:s Brf Munken</v>
      </c>
      <c r="C2" s="139"/>
      <c r="D2" s="139"/>
      <c r="G2" s="140"/>
      <c r="H2" s="138"/>
      <c r="J2" s="138"/>
    </row>
    <row r="3" spans="8:10" s="131" customFormat="1" ht="12" customHeight="1">
      <c r="H3" s="138"/>
      <c r="J3" s="138"/>
    </row>
    <row r="4" ht="13.5" customHeight="1"/>
    <row r="5" spans="1:9" ht="19.5" thickBot="1">
      <c r="A5" s="141" t="s">
        <v>20</v>
      </c>
      <c r="B5" s="269"/>
      <c r="C5" s="269"/>
      <c r="D5" s="269"/>
      <c r="E5" s="269"/>
      <c r="F5" s="269"/>
      <c r="G5" s="143">
        <f>Ar_1</f>
        <v>39447</v>
      </c>
      <c r="H5" s="270"/>
      <c r="I5" s="143">
        <f>Ar_2</f>
        <v>39082</v>
      </c>
    </row>
    <row r="6" ht="12" customHeight="1"/>
    <row r="7" ht="18.75">
      <c r="A7" s="268" t="s">
        <v>21</v>
      </c>
    </row>
    <row r="8" spans="7:9" s="135" customFormat="1" ht="12" customHeight="1">
      <c r="G8" s="175"/>
      <c r="I8" s="175"/>
    </row>
    <row r="9" spans="1:9" s="133" customFormat="1" ht="15.75">
      <c r="A9" s="263" t="s">
        <v>22</v>
      </c>
      <c r="G9" s="241"/>
      <c r="I9" s="241"/>
    </row>
    <row r="10" spans="1:9" s="133" customFormat="1" ht="6.75" customHeight="1">
      <c r="A10" s="132"/>
      <c r="G10" s="222"/>
      <c r="H10" s="128"/>
      <c r="I10" s="222"/>
    </row>
    <row r="11" spans="1:9" s="135" customFormat="1" ht="15.75">
      <c r="A11" s="257" t="s">
        <v>23</v>
      </c>
      <c r="E11" s="253"/>
      <c r="F11" s="253"/>
      <c r="G11" s="134"/>
      <c r="H11" s="174"/>
      <c r="I11" s="134"/>
    </row>
    <row r="12" spans="1:9" s="133" customFormat="1" ht="15.75">
      <c r="A12" s="256" t="s">
        <v>177</v>
      </c>
      <c r="E12" s="256" t="s">
        <v>69</v>
      </c>
      <c r="F12" s="256"/>
      <c r="G12" s="261">
        <f>IF(ISERROR(VillkorAr1_204),0,VillkorAr1_204)</f>
        <v>74338598</v>
      </c>
      <c r="H12" s="259"/>
      <c r="I12" s="261">
        <f>IF(ISERROR(VillkorAr2_204),0,VillkorAr2_204)</f>
        <v>74708745</v>
      </c>
    </row>
    <row r="13" spans="1:9" s="133" customFormat="1" ht="15.75" hidden="1">
      <c r="A13" s="256" t="s">
        <v>70</v>
      </c>
      <c r="E13" s="256" t="s">
        <v>72</v>
      </c>
      <c r="F13" s="256"/>
      <c r="G13" s="258">
        <f>IF(ISERROR(VillkorAr1_100),0,VillkorAr1_100)</f>
        <v>0</v>
      </c>
      <c r="H13" s="259"/>
      <c r="I13" s="258">
        <f>IF(ISERROR(VillkorAr2_100),0,VillkorAr2_100)</f>
        <v>0</v>
      </c>
    </row>
    <row r="14" spans="1:9" s="133" customFormat="1" ht="15.75" hidden="1">
      <c r="A14" s="256" t="s">
        <v>25</v>
      </c>
      <c r="E14" s="256" t="s">
        <v>73</v>
      </c>
      <c r="F14" s="256"/>
      <c r="G14" s="271">
        <f>IF(ISERROR(VillkorAr1_98),0,VillkorAr1_98)</f>
        <v>0</v>
      </c>
      <c r="H14" s="259"/>
      <c r="I14" s="271">
        <f>IF(ISERROR(VillkorAr2_98),0,VillkorAr2_98)</f>
        <v>0</v>
      </c>
    </row>
    <row r="15" spans="1:9" s="133" customFormat="1" ht="15.75" hidden="1">
      <c r="A15" s="256" t="s">
        <v>140</v>
      </c>
      <c r="E15" s="256" t="s">
        <v>94</v>
      </c>
      <c r="F15" s="256"/>
      <c r="G15" s="261">
        <f>IF(ISERROR(VillkorAr1_99),0,VillkorAr1_99)</f>
        <v>0</v>
      </c>
      <c r="H15" s="259"/>
      <c r="I15" s="261">
        <f>IF(ISERROR(VillkorAr2_99),0,VillkorAr2_99)</f>
        <v>0</v>
      </c>
    </row>
    <row r="16" spans="1:9" s="133" customFormat="1" ht="15.75">
      <c r="A16" s="253" t="s">
        <v>146</v>
      </c>
      <c r="E16" s="256"/>
      <c r="F16" s="256"/>
      <c r="G16" s="258">
        <f>SUM(G12:G15)</f>
        <v>74338598</v>
      </c>
      <c r="H16" s="259"/>
      <c r="I16" s="258">
        <f>SUM(I12:I15)</f>
        <v>74708745</v>
      </c>
    </row>
    <row r="17" spans="1:9" s="133" customFormat="1" ht="6.75" customHeight="1">
      <c r="A17" s="132"/>
      <c r="E17" s="256"/>
      <c r="F17" s="256"/>
      <c r="G17" s="222"/>
      <c r="H17" s="164"/>
      <c r="I17" s="222"/>
    </row>
    <row r="18" spans="1:9" s="133" customFormat="1" ht="15.75">
      <c r="A18" s="257" t="s">
        <v>26</v>
      </c>
      <c r="E18" s="256"/>
      <c r="F18" s="256"/>
      <c r="G18" s="222"/>
      <c r="H18" s="164"/>
      <c r="I18" s="222"/>
    </row>
    <row r="19" spans="1:9" s="133" customFormat="1" ht="15.75">
      <c r="A19" s="256" t="s">
        <v>185</v>
      </c>
      <c r="E19" s="256" t="s">
        <v>71</v>
      </c>
      <c r="F19" s="256"/>
      <c r="G19" s="261">
        <f>IF(ISERROR(VillkorAr1_101),0,VillkorAr1_101)</f>
        <v>500</v>
      </c>
      <c r="H19" s="259"/>
      <c r="I19" s="261">
        <f>IF(ISERROR(VillkorAr2_101),0,VillkorAr2_101)</f>
        <v>500</v>
      </c>
    </row>
    <row r="20" spans="1:9" s="133" customFormat="1" ht="15.75" hidden="1">
      <c r="A20" s="256" t="s">
        <v>27</v>
      </c>
      <c r="E20" s="256" t="str">
        <f>E19</f>
        <v>Not 6</v>
      </c>
      <c r="F20" s="256"/>
      <c r="G20" s="261">
        <f>IF(ISERROR(VillkorAr1_102),0,VillkorAr1_102)</f>
        <v>0</v>
      </c>
      <c r="H20" s="259"/>
      <c r="I20" s="261">
        <f>IF(ISERROR(VillkorAr2_102),0,VillkorAr2_102)</f>
        <v>0</v>
      </c>
    </row>
    <row r="21" spans="1:9" s="133" customFormat="1" ht="15" customHeight="1">
      <c r="A21" s="253" t="s">
        <v>147</v>
      </c>
      <c r="E21" s="256"/>
      <c r="F21" s="256"/>
      <c r="G21" s="258">
        <f>SUM(G19:G20)</f>
        <v>500</v>
      </c>
      <c r="H21" s="259"/>
      <c r="I21" s="258">
        <f>SUM(I19:I20)</f>
        <v>500</v>
      </c>
    </row>
    <row r="22" spans="1:9" s="133" customFormat="1" ht="6.75" customHeight="1">
      <c r="A22" s="256"/>
      <c r="E22" s="256"/>
      <c r="F22" s="256"/>
      <c r="G22" s="258"/>
      <c r="H22" s="259"/>
      <c r="I22" s="258"/>
    </row>
    <row r="23" spans="1:9" s="150" customFormat="1" ht="15" customHeight="1">
      <c r="A23" s="263" t="s">
        <v>150</v>
      </c>
      <c r="E23" s="263"/>
      <c r="F23" s="263"/>
      <c r="G23" s="272">
        <f>G16+G21</f>
        <v>74339098</v>
      </c>
      <c r="H23" s="264"/>
      <c r="I23" s="255">
        <f>I16+I21</f>
        <v>74709245</v>
      </c>
    </row>
    <row r="24" spans="1:9" s="133" customFormat="1" ht="6.75" customHeight="1">
      <c r="A24" s="132"/>
      <c r="E24" s="256"/>
      <c r="F24" s="256"/>
      <c r="G24" s="258"/>
      <c r="H24" s="259"/>
      <c r="I24" s="258"/>
    </row>
    <row r="25" spans="1:9" s="150" customFormat="1" ht="15.75">
      <c r="A25" s="263" t="s">
        <v>28</v>
      </c>
      <c r="E25" s="263"/>
      <c r="F25" s="263"/>
      <c r="G25" s="210"/>
      <c r="H25" s="273"/>
      <c r="I25" s="210"/>
    </row>
    <row r="26" spans="1:9" s="133" customFormat="1" ht="6.75" customHeight="1" hidden="1">
      <c r="A26" s="132"/>
      <c r="E26" s="256"/>
      <c r="F26" s="256"/>
      <c r="G26" s="222"/>
      <c r="H26" s="164"/>
      <c r="I26" s="222"/>
    </row>
    <row r="27" spans="1:9" s="133" customFormat="1" ht="15.75" hidden="1">
      <c r="A27" s="253" t="s">
        <v>95</v>
      </c>
      <c r="E27" s="256" t="s">
        <v>75</v>
      </c>
      <c r="F27" s="256"/>
      <c r="G27" s="271">
        <f>IF(ISERROR(VillkorAr1_103),0,VillkorAr1_103)</f>
        <v>0</v>
      </c>
      <c r="H27" s="259"/>
      <c r="I27" s="271">
        <f>IF(ISERROR(VillkorAr2_103),0,VillkorAr2_103)</f>
        <v>0</v>
      </c>
    </row>
    <row r="28" spans="1:9" s="133" customFormat="1" ht="6.75" customHeight="1">
      <c r="A28" s="132"/>
      <c r="E28" s="256"/>
      <c r="F28" s="256"/>
      <c r="G28" s="222"/>
      <c r="H28" s="164"/>
      <c r="I28" s="222"/>
    </row>
    <row r="29" spans="1:9" s="133" customFormat="1" ht="15.75">
      <c r="A29" s="257" t="s">
        <v>29</v>
      </c>
      <c r="E29" s="256"/>
      <c r="F29" s="256"/>
      <c r="G29" s="222"/>
      <c r="H29" s="164"/>
      <c r="I29" s="222"/>
    </row>
    <row r="30" spans="1:9" s="133" customFormat="1" ht="15.75">
      <c r="A30" s="256" t="s">
        <v>30</v>
      </c>
      <c r="E30" s="256"/>
      <c r="F30" s="256"/>
      <c r="G30" s="271">
        <f>IF(ISERROR(VillkorAr1_104),0,VillkorAr1_104)</f>
        <v>3266</v>
      </c>
      <c r="H30" s="259"/>
      <c r="I30" s="271">
        <f>IF(ISERROR(VillkorAr2_104),0,VillkorAr2_104)</f>
        <v>7485</v>
      </c>
    </row>
    <row r="31" spans="1:9" s="133" customFormat="1" ht="15.75">
      <c r="A31" s="256" t="s">
        <v>31</v>
      </c>
      <c r="E31" s="256" t="s">
        <v>82</v>
      </c>
      <c r="F31" s="256"/>
      <c r="G31" s="271">
        <f>IF(ISERROR(VillkorAr1_105),0,VillkorAr1_105)</f>
        <v>11713</v>
      </c>
      <c r="H31" s="259"/>
      <c r="I31" s="271">
        <f>IF(ISERROR(VillkorAr2_105),0,VillkorAr2_105)</f>
        <v>792</v>
      </c>
    </row>
    <row r="32" spans="1:9" s="133" customFormat="1" ht="15.75">
      <c r="A32" s="256" t="s">
        <v>32</v>
      </c>
      <c r="E32" s="256" t="s">
        <v>72</v>
      </c>
      <c r="F32" s="256"/>
      <c r="G32" s="271">
        <f>IF(ISERROR(VillkorAr1_106),0,VillkorAr1_106)</f>
        <v>203025</v>
      </c>
      <c r="H32" s="259"/>
      <c r="I32" s="271">
        <f>IF(ISERROR(VillkorAr2_106),0,VillkorAr2_106)</f>
        <v>270107</v>
      </c>
    </row>
    <row r="33" spans="1:9" s="133" customFormat="1" ht="15.75">
      <c r="A33" s="256" t="s">
        <v>178</v>
      </c>
      <c r="E33" s="256"/>
      <c r="F33" s="256"/>
      <c r="G33" s="261">
        <f>IF(ISERROR(VillkorAr1_108),0,VillkorAr1_108)</f>
        <v>410154.52</v>
      </c>
      <c r="H33" s="259"/>
      <c r="I33" s="261">
        <f>IF(ISERROR(VillkorAr2_108),0,VillkorAr2_108)</f>
        <v>346483.52</v>
      </c>
    </row>
    <row r="34" spans="1:9" s="133" customFormat="1" ht="15.75">
      <c r="A34" s="253" t="s">
        <v>149</v>
      </c>
      <c r="E34" s="256"/>
      <c r="F34" s="256"/>
      <c r="G34" s="258">
        <f>SUM(G30:G33)</f>
        <v>628158.52</v>
      </c>
      <c r="H34" s="259"/>
      <c r="I34" s="258">
        <f>SUM(I30:I33)</f>
        <v>624867.52</v>
      </c>
    </row>
    <row r="35" spans="1:9" s="133" customFormat="1" ht="6.75" customHeight="1">
      <c r="A35" s="132"/>
      <c r="E35" s="256"/>
      <c r="F35" s="256"/>
      <c r="G35" s="222"/>
      <c r="H35" s="164"/>
      <c r="I35" s="222"/>
    </row>
    <row r="36" s="133" customFormat="1" ht="15.75" hidden="1">
      <c r="A36" s="257" t="s">
        <v>33</v>
      </c>
    </row>
    <row r="37" spans="1:9" s="133" customFormat="1" ht="15.75" hidden="1">
      <c r="A37" s="256" t="s">
        <v>187</v>
      </c>
      <c r="E37" s="256" t="s">
        <v>76</v>
      </c>
      <c r="F37" s="256"/>
      <c r="G37" s="271">
        <f>IF(ISERROR(VillkorAr1_107),0,VillkorAr1_107)</f>
        <v>0</v>
      </c>
      <c r="H37" s="259"/>
      <c r="I37" s="271">
        <f>IF(ISERROR(VillkorAr2_107),0,VillkorAr2_107)</f>
        <v>0</v>
      </c>
    </row>
    <row r="38" spans="1:9" s="133" customFormat="1" ht="6.75" customHeight="1" hidden="1">
      <c r="A38" s="132"/>
      <c r="E38" s="256"/>
      <c r="F38" s="256"/>
      <c r="G38" s="222"/>
      <c r="H38" s="164"/>
      <c r="I38" s="222"/>
    </row>
    <row r="39" spans="1:9" s="133" customFormat="1" ht="15.75">
      <c r="A39" s="257" t="s">
        <v>34</v>
      </c>
      <c r="E39" s="256"/>
      <c r="F39" s="256"/>
      <c r="G39" s="222"/>
      <c r="H39" s="164"/>
      <c r="I39" s="222"/>
    </row>
    <row r="40" spans="1:9" s="133" customFormat="1" ht="15.75">
      <c r="A40" s="256" t="s">
        <v>192</v>
      </c>
      <c r="E40" s="256"/>
      <c r="F40" s="256"/>
      <c r="G40" s="261">
        <f>IF(ISERROR(VillkorAr1_109),0,VillkorAr1_109)</f>
        <v>2057223.83</v>
      </c>
      <c r="H40" s="259"/>
      <c r="I40" s="261">
        <f>IF(ISERROR(VillkorAr2_109),0,VillkorAr2_109)</f>
        <v>2177590.18</v>
      </c>
    </row>
    <row r="41" spans="1:9" s="133" customFormat="1" ht="15.75">
      <c r="A41" s="253" t="s">
        <v>148</v>
      </c>
      <c r="E41" s="256"/>
      <c r="F41" s="256"/>
      <c r="G41" s="258">
        <f>SUM(G40)</f>
        <v>2057223.83</v>
      </c>
      <c r="H41" s="259"/>
      <c r="I41" s="258">
        <f>SUM(I40)</f>
        <v>2177590.18</v>
      </c>
    </row>
    <row r="42" spans="1:9" s="133" customFormat="1" ht="6.75" customHeight="1">
      <c r="A42" s="132"/>
      <c r="E42" s="256"/>
      <c r="F42" s="256"/>
      <c r="G42" s="222"/>
      <c r="H42" s="164"/>
      <c r="I42" s="222"/>
    </row>
    <row r="43" spans="1:9" s="133" customFormat="1" ht="15.75">
      <c r="A43" s="263" t="s">
        <v>151</v>
      </c>
      <c r="E43" s="256"/>
      <c r="F43" s="256"/>
      <c r="G43" s="210">
        <f>G27+G34+G37+G41</f>
        <v>2685382.35</v>
      </c>
      <c r="H43" s="273"/>
      <c r="I43" s="210">
        <f>I27+I34+I37+I41</f>
        <v>2802457.7</v>
      </c>
    </row>
    <row r="44" spans="1:9" s="133" customFormat="1" ht="6.75" customHeight="1">
      <c r="A44" s="274"/>
      <c r="E44" s="256"/>
      <c r="F44" s="256"/>
      <c r="G44" s="210"/>
      <c r="H44" s="273"/>
      <c r="I44" s="210"/>
    </row>
    <row r="45" spans="1:9" s="275" customFormat="1" ht="18.75">
      <c r="A45" s="268" t="s">
        <v>152</v>
      </c>
      <c r="E45" s="276"/>
      <c r="F45" s="276"/>
      <c r="G45" s="255">
        <f>G41+G37+G34+G27+G21+G16</f>
        <v>77024480.35</v>
      </c>
      <c r="H45" s="259"/>
      <c r="I45" s="255">
        <f>I41+I37+I34+I27+I21+I16</f>
        <v>77511702.7</v>
      </c>
    </row>
    <row r="46" spans="1:9" ht="15.75">
      <c r="A46" s="251"/>
      <c r="E46" s="253"/>
      <c r="F46" s="253"/>
      <c r="G46" s="265"/>
      <c r="H46" s="266"/>
      <c r="I46" s="265"/>
    </row>
    <row r="47" spans="1:9" ht="15.75">
      <c r="A47" s="251"/>
      <c r="E47" s="253"/>
      <c r="F47" s="253"/>
      <c r="G47" s="265"/>
      <c r="H47" s="266"/>
      <c r="I47" s="265"/>
    </row>
    <row r="48" spans="1:9" ht="15.75">
      <c r="A48" s="251"/>
      <c r="E48" s="253"/>
      <c r="F48" s="253"/>
      <c r="G48" s="265"/>
      <c r="H48" s="266"/>
      <c r="I48" s="265"/>
    </row>
    <row r="49" spans="1:9" ht="18.75">
      <c r="A49" s="277" t="s">
        <v>36</v>
      </c>
      <c r="E49" s="253"/>
      <c r="F49" s="253"/>
      <c r="G49" s="220"/>
      <c r="H49" s="278"/>
      <c r="I49" s="220"/>
    </row>
    <row r="50" spans="1:9" ht="12" customHeight="1">
      <c r="A50" s="277"/>
      <c r="E50" s="253"/>
      <c r="F50" s="253"/>
      <c r="G50" s="220"/>
      <c r="H50" s="278"/>
      <c r="I50" s="220"/>
    </row>
    <row r="51" spans="1:9" s="133" customFormat="1" ht="15" customHeight="1">
      <c r="A51" s="263" t="s">
        <v>124</v>
      </c>
      <c r="E51" s="256" t="s">
        <v>73</v>
      </c>
      <c r="F51" s="256"/>
      <c r="G51" s="222"/>
      <c r="H51" s="164"/>
      <c r="I51" s="222"/>
    </row>
    <row r="52" spans="1:9" s="133" customFormat="1" ht="6" customHeight="1">
      <c r="A52" s="132"/>
      <c r="E52" s="256"/>
      <c r="F52" s="256"/>
      <c r="G52" s="222"/>
      <c r="H52" s="164"/>
      <c r="I52" s="222"/>
    </row>
    <row r="53" spans="1:9" s="135" customFormat="1" ht="15.75">
      <c r="A53" s="257" t="s">
        <v>37</v>
      </c>
      <c r="E53" s="253"/>
      <c r="F53" s="253"/>
      <c r="G53" s="134"/>
      <c r="H53" s="165"/>
      <c r="I53" s="134"/>
    </row>
    <row r="54" spans="1:9" s="135" customFormat="1" ht="15.75">
      <c r="A54" s="253" t="s">
        <v>38</v>
      </c>
      <c r="E54" s="253"/>
      <c r="F54" s="253"/>
      <c r="G54" s="279">
        <f>(IF(ISERROR(VillkorAr1_110),0,VillkorAr1_110))*-1</f>
        <v>26910988</v>
      </c>
      <c r="H54" s="266"/>
      <c r="I54" s="279">
        <f>(IF(ISERROR(VillkorAr2_110),0,VillkorAr2_110))*-1</f>
        <v>26910988</v>
      </c>
    </row>
    <row r="55" spans="1:9" s="135" customFormat="1" ht="15.75">
      <c r="A55" s="253" t="s">
        <v>39</v>
      </c>
      <c r="E55" s="253"/>
      <c r="F55" s="253"/>
      <c r="G55" s="279">
        <f>(IF(ISERROR(VillkorAr1_111),0,VillkorAr1_111))*-1</f>
        <v>4262361</v>
      </c>
      <c r="H55" s="266"/>
      <c r="I55" s="279">
        <f>(IF(ISERROR(VillkorAr2_111),0,VillkorAr2_111))*-1</f>
        <v>4262361</v>
      </c>
    </row>
    <row r="56" spans="1:9" s="135" customFormat="1" ht="15.75" hidden="1">
      <c r="A56" s="253" t="s">
        <v>97</v>
      </c>
      <c r="E56" s="253"/>
      <c r="F56" s="253"/>
      <c r="G56" s="279">
        <f>(IF(ISERROR(VillkorAr1_164),0,VillkorAr1_164))*-1</f>
        <v>0</v>
      </c>
      <c r="H56" s="266"/>
      <c r="I56" s="279">
        <f>(IF(ISERROR(VillkorAr2_164),0,VillkorAr2_164))*-1</f>
        <v>0</v>
      </c>
    </row>
    <row r="57" spans="1:9" s="135" customFormat="1" ht="15.75" hidden="1">
      <c r="A57" s="253" t="s">
        <v>54</v>
      </c>
      <c r="E57" s="253"/>
      <c r="F57" s="253"/>
      <c r="G57" s="279">
        <f>(IF(ISERROR(VillkorAr1_160),0,VillkorAr1_160))*-1</f>
        <v>0</v>
      </c>
      <c r="H57" s="266"/>
      <c r="I57" s="279">
        <f>(IF(ISERROR(VillkorAr2_160),0,VillkorAr2_160))*-1</f>
        <v>0</v>
      </c>
    </row>
    <row r="58" spans="1:9" s="135" customFormat="1" ht="15.75">
      <c r="A58" s="253" t="s">
        <v>42</v>
      </c>
      <c r="E58" s="253"/>
      <c r="F58" s="253"/>
      <c r="G58" s="267">
        <f>(IF(ISERROR(VillkorAr1_115),0,VillkorAr1_115))*-1</f>
        <v>2176670</v>
      </c>
      <c r="H58" s="266"/>
      <c r="I58" s="267">
        <f>(IF(ISERROR(VillkorAr2_115),0,VillkorAr2_115))*-1</f>
        <v>1926670</v>
      </c>
    </row>
    <row r="59" spans="1:9" s="135" customFormat="1" ht="15.75">
      <c r="A59" s="253" t="s">
        <v>145</v>
      </c>
      <c r="E59" s="253"/>
      <c r="F59" s="253"/>
      <c r="G59" s="265">
        <f>SUM(G54:G58)</f>
        <v>33350019</v>
      </c>
      <c r="H59" s="266"/>
      <c r="I59" s="265">
        <f>SUM(I54:I58)</f>
        <v>33100019</v>
      </c>
    </row>
    <row r="60" spans="1:9" s="135" customFormat="1" ht="6" customHeight="1">
      <c r="A60" s="167"/>
      <c r="E60" s="253"/>
      <c r="F60" s="253"/>
      <c r="G60" s="134"/>
      <c r="H60" s="165"/>
      <c r="I60" s="134"/>
    </row>
    <row r="61" spans="1:9" s="135" customFormat="1" ht="15.75">
      <c r="A61" s="257" t="s">
        <v>40</v>
      </c>
      <c r="E61" s="253"/>
      <c r="F61" s="253"/>
      <c r="G61" s="134"/>
      <c r="H61" s="165"/>
      <c r="I61" s="134"/>
    </row>
    <row r="62" spans="1:9" s="280" customFormat="1" ht="15.75">
      <c r="A62" s="253" t="s">
        <v>96</v>
      </c>
      <c r="E62" s="253"/>
      <c r="F62" s="253"/>
      <c r="G62" s="279">
        <f>(IF(ISERROR(VillkorAr1_112),0,VillkorAr1_112))*-1</f>
        <v>3285519.7</v>
      </c>
      <c r="H62" s="266"/>
      <c r="I62" s="279">
        <f>(IF(ISERROR(VillkorAr2_112),0,VillkorAr2_112))*-1</f>
        <v>3092249.86</v>
      </c>
    </row>
    <row r="63" spans="1:9" s="280" customFormat="1" ht="15.75" hidden="1">
      <c r="A63" s="253" t="s">
        <v>41</v>
      </c>
      <c r="E63" s="253"/>
      <c r="F63" s="253"/>
      <c r="G63" s="279">
        <f>(IF(ISERROR(VillkorAr1_113),0,VillkorAr1_113))*-1</f>
        <v>0</v>
      </c>
      <c r="H63" s="266"/>
      <c r="I63" s="279">
        <f>(IF(ISERROR(VillkorAr2_113),0,VillkorAr2_113))*-1</f>
        <v>0</v>
      </c>
    </row>
    <row r="64" spans="1:9" s="135" customFormat="1" ht="15.75">
      <c r="A64" s="253" t="s">
        <v>19</v>
      </c>
      <c r="E64" s="253"/>
      <c r="F64" s="253"/>
      <c r="G64" s="267">
        <f>Resultaträkning!G34</f>
        <v>82098.6499999999</v>
      </c>
      <c r="H64" s="266"/>
      <c r="I64" s="267">
        <f>Resultaträkning!I34</f>
        <v>443269.8400000001</v>
      </c>
    </row>
    <row r="65" spans="1:9" s="135" customFormat="1" ht="15.75">
      <c r="A65" s="253" t="s">
        <v>153</v>
      </c>
      <c r="E65" s="253"/>
      <c r="F65" s="253"/>
      <c r="G65" s="265">
        <f>SUM(G62:G64)</f>
        <v>3367618.35</v>
      </c>
      <c r="H65" s="266"/>
      <c r="I65" s="265">
        <f>SUM(I62:I64)</f>
        <v>3535519.7</v>
      </c>
    </row>
    <row r="66" spans="1:9" s="135" customFormat="1" ht="6" customHeight="1">
      <c r="A66" s="253"/>
      <c r="E66" s="253"/>
      <c r="F66" s="253"/>
      <c r="G66" s="265"/>
      <c r="H66" s="266"/>
      <c r="I66" s="265"/>
    </row>
    <row r="67" spans="1:9" s="150" customFormat="1" ht="15.75">
      <c r="A67" s="263" t="s">
        <v>130</v>
      </c>
      <c r="E67" s="263"/>
      <c r="F67" s="263"/>
      <c r="G67" s="272">
        <f>G65+G59</f>
        <v>36717637.35</v>
      </c>
      <c r="H67" s="264"/>
      <c r="I67" s="272">
        <f>I65+I59</f>
        <v>36635538.7</v>
      </c>
    </row>
    <row r="68" spans="1:9" s="135" customFormat="1" ht="7.5" customHeight="1">
      <c r="A68" s="253"/>
      <c r="E68" s="253"/>
      <c r="F68" s="253"/>
      <c r="G68" s="279"/>
      <c r="H68" s="266"/>
      <c r="I68" s="279"/>
    </row>
    <row r="69" spans="1:9" s="135" customFormat="1" ht="15.75">
      <c r="A69" s="263" t="s">
        <v>179</v>
      </c>
      <c r="E69" s="253"/>
      <c r="F69" s="253"/>
      <c r="G69" s="134"/>
      <c r="H69" s="165"/>
      <c r="I69" s="134"/>
    </row>
    <row r="70" spans="1:9" s="280" customFormat="1" ht="15.75" hidden="1">
      <c r="A70" s="253" t="s">
        <v>43</v>
      </c>
      <c r="E70" s="253"/>
      <c r="F70" s="253"/>
      <c r="G70" s="279">
        <f>(IF(ISERROR(VillkorAr1_116),0,VillkorAr1_116))*-1</f>
        <v>0</v>
      </c>
      <c r="H70" s="281"/>
      <c r="I70" s="279">
        <f>(IF(ISERROR(VillkorAr2_116),0,VillkorAr2_116))*-1</f>
        <v>0</v>
      </c>
    </row>
    <row r="71" spans="1:9" s="135" customFormat="1" ht="15.75">
      <c r="A71" s="253" t="s">
        <v>44</v>
      </c>
      <c r="E71" s="253" t="s">
        <v>94</v>
      </c>
      <c r="F71" s="253"/>
      <c r="G71" s="279">
        <f>(IF(ISERROR(VillkorAr1_205),0,VillkorAr1_205))*-1</f>
        <v>34911550</v>
      </c>
      <c r="H71" s="266"/>
      <c r="I71" s="279">
        <f>(IF(ISERROR(VillkorAr2_205),0,VillkorAr2_205))*-1</f>
        <v>38485302</v>
      </c>
    </row>
    <row r="72" spans="1:9" s="135" customFormat="1" ht="15.75">
      <c r="A72" s="253" t="s">
        <v>45</v>
      </c>
      <c r="E72" s="253"/>
      <c r="F72" s="253"/>
      <c r="G72" s="279">
        <f>(IF(ISERROR(VillkorAr1_120),0,VillkorAr1_120))*-1</f>
        <v>136478</v>
      </c>
      <c r="H72" s="266"/>
      <c r="I72" s="279">
        <f>(IF(ISERROR(VillkorAr2_120),0,VillkorAr2_120))*-1</f>
        <v>186640</v>
      </c>
    </row>
    <row r="73" spans="1:9" s="135" customFormat="1" ht="15.75">
      <c r="A73" s="253" t="s">
        <v>46</v>
      </c>
      <c r="E73" s="253"/>
      <c r="F73" s="253"/>
      <c r="G73" s="279">
        <f>(IF(ISERROR(VillkorAr1_121),0,VillkorAr1_121))*-1</f>
        <v>402659</v>
      </c>
      <c r="H73" s="266"/>
      <c r="I73" s="279">
        <f>(IF(ISERROR(VillkorAr2_121),0,VillkorAr2_121))*-1</f>
        <v>691495</v>
      </c>
    </row>
    <row r="74" spans="1:9" s="135" customFormat="1" ht="15.75">
      <c r="A74" s="253" t="s">
        <v>180</v>
      </c>
      <c r="E74" s="253" t="s">
        <v>74</v>
      </c>
      <c r="F74" s="253"/>
      <c r="G74" s="279">
        <f>(IF(ISERROR(VillkorAr1_206),0,VillkorAr1_206))*-1</f>
        <v>4170543</v>
      </c>
      <c r="H74" s="266"/>
      <c r="I74" s="279">
        <f>(IF(ISERROR(VillkorAr2_206),0,VillkorAr2_206))*-1</f>
        <v>755492</v>
      </c>
    </row>
    <row r="75" spans="1:9" s="135" customFormat="1" ht="15.75">
      <c r="A75" s="253" t="s">
        <v>115</v>
      </c>
      <c r="E75" s="253" t="s">
        <v>75</v>
      </c>
      <c r="F75" s="253"/>
      <c r="G75" s="267">
        <f>(IF(ISERROR(VillkorAr1_123),0,VillkorAr1_123))*-1+11800+75000+22500+3000+900</f>
        <v>685613</v>
      </c>
      <c r="H75" s="266"/>
      <c r="I75" s="267">
        <f>(IF(ISERROR(VillkorAr2_123),0,VillkorAr2_123))*-1</f>
        <v>757235</v>
      </c>
    </row>
    <row r="76" spans="1:9" s="135" customFormat="1" ht="15.75">
      <c r="A76" s="263" t="s">
        <v>181</v>
      </c>
      <c r="E76" s="253"/>
      <c r="F76" s="253"/>
      <c r="G76" s="255">
        <f>SUM(G70:G75)</f>
        <v>40306843</v>
      </c>
      <c r="H76" s="264"/>
      <c r="I76" s="255">
        <f>SUM(I70:I75)</f>
        <v>40876164</v>
      </c>
    </row>
    <row r="77" spans="1:9" s="135" customFormat="1" ht="6" customHeight="1">
      <c r="A77" s="282"/>
      <c r="E77" s="253"/>
      <c r="F77" s="253"/>
      <c r="G77" s="134"/>
      <c r="H77" s="165"/>
      <c r="I77" s="134"/>
    </row>
    <row r="78" spans="1:9" ht="18.75">
      <c r="A78" s="268" t="s">
        <v>154</v>
      </c>
      <c r="E78" s="253"/>
      <c r="F78" s="253"/>
      <c r="G78" s="255">
        <f>G67+G76</f>
        <v>77024480.35</v>
      </c>
      <c r="H78" s="264"/>
      <c r="I78" s="255">
        <f>I67+I76</f>
        <v>77511702.7</v>
      </c>
    </row>
    <row r="79" spans="5:9" ht="12" customHeight="1">
      <c r="E79" s="253"/>
      <c r="F79" s="253"/>
      <c r="G79" s="220"/>
      <c r="H79" s="278"/>
      <c r="I79" s="220"/>
    </row>
    <row r="80" spans="1:9" ht="18.75">
      <c r="A80" s="268" t="s">
        <v>164</v>
      </c>
      <c r="E80" s="253"/>
      <c r="F80" s="253"/>
      <c r="G80" s="220"/>
      <c r="H80" s="278"/>
      <c r="I80" s="220"/>
    </row>
    <row r="81" spans="1:9" ht="6" customHeight="1">
      <c r="A81" s="268"/>
      <c r="E81" s="253"/>
      <c r="F81" s="253"/>
      <c r="G81" s="220"/>
      <c r="H81" s="278"/>
      <c r="I81" s="220"/>
    </row>
    <row r="82" spans="1:9" ht="21" customHeight="1">
      <c r="A82" s="263" t="s">
        <v>228</v>
      </c>
      <c r="E82" s="253"/>
      <c r="F82" s="253"/>
      <c r="G82" s="220"/>
      <c r="H82" s="278"/>
      <c r="I82" s="220"/>
    </row>
    <row r="83" spans="1:9" ht="15.75">
      <c r="A83" s="253" t="s">
        <v>229</v>
      </c>
      <c r="E83" s="256"/>
      <c r="F83" s="256"/>
      <c r="G83" s="279">
        <v>46388000</v>
      </c>
      <c r="H83" s="279"/>
      <c r="I83" s="279">
        <v>46388000</v>
      </c>
    </row>
    <row r="84" spans="1:9" ht="15.75">
      <c r="A84" s="253" t="s">
        <v>230</v>
      </c>
      <c r="E84" s="253"/>
      <c r="F84" s="253"/>
      <c r="G84" s="279">
        <v>46388000</v>
      </c>
      <c r="H84" s="279"/>
      <c r="I84" s="279">
        <v>46388000</v>
      </c>
    </row>
    <row r="85" spans="1:9" ht="6.75" customHeight="1">
      <c r="A85" s="268"/>
      <c r="E85" s="253"/>
      <c r="F85" s="253"/>
      <c r="G85" s="220"/>
      <c r="H85" s="278"/>
      <c r="I85" s="220"/>
    </row>
    <row r="86" spans="1:9" ht="15.75">
      <c r="A86" s="253" t="s">
        <v>81</v>
      </c>
      <c r="G86" s="279" t="s">
        <v>413</v>
      </c>
      <c r="H86" s="279"/>
      <c r="I86" s="279" t="s">
        <v>413</v>
      </c>
    </row>
    <row r="87" spans="1:9" ht="15.75" hidden="1">
      <c r="A87" s="253" t="s">
        <v>118</v>
      </c>
      <c r="G87" s="148">
        <v>0</v>
      </c>
      <c r="I87" s="148">
        <v>0</v>
      </c>
    </row>
  </sheetData>
  <sheetProtection/>
  <printOptions/>
  <pageMargins left="0.7086614173228347" right="0.5905511811023623" top="0.5118110236220472" bottom="0.7086614173228347" header="0.5118110236220472" footer="0.2755905511811024"/>
  <pageSetup horizontalDpi="600" verticalDpi="600" orientation="portrait" paperSize="9" r:id="rId2"/>
  <headerFooter alignWithMargins="0">
    <oddFooter>&amp;C&amp;P(&amp;N)</oddFooter>
  </headerFooter>
  <rowBreaks count="1" manualBreakCount="1">
    <brk id="48" max="255" man="1"/>
  </rowBreaks>
  <drawing r:id="rId1"/>
</worksheet>
</file>

<file path=xl/worksheets/sheet4.xml><?xml version="1.0" encoding="utf-8"?>
<worksheet xmlns="http://schemas.openxmlformats.org/spreadsheetml/2006/main" xmlns:r="http://schemas.openxmlformats.org/officeDocument/2006/relationships">
  <sheetPr codeName="Blad6"/>
  <dimension ref="A1:P483"/>
  <sheetViews>
    <sheetView zoomScalePageLayoutView="0" workbookViewId="0" topLeftCell="A1">
      <selection activeCell="E45" sqref="E45"/>
    </sheetView>
  </sheetViews>
  <sheetFormatPr defaultColWidth="8.00390625" defaultRowHeight="15.75"/>
  <cols>
    <col min="1" max="1" width="7.875" style="82" customWidth="1"/>
    <col min="2" max="5" width="8.00390625" style="82" customWidth="1"/>
    <col min="6" max="6" width="14.25390625" style="82" customWidth="1"/>
    <col min="7" max="7" width="12.375" style="82" customWidth="1"/>
    <col min="8" max="8" width="2.25390625" style="83" customWidth="1"/>
    <col min="9" max="9" width="14.00390625" style="82" customWidth="1"/>
    <col min="10" max="10" width="10.25390625" style="82" bestFit="1" customWidth="1"/>
    <col min="11" max="12" width="11.125" style="82" bestFit="1" customWidth="1"/>
    <col min="13" max="13" width="9.50390625" style="82" bestFit="1" customWidth="1"/>
    <col min="14" max="14" width="8.875" style="82" bestFit="1" customWidth="1"/>
    <col min="15" max="15" width="8.00390625" style="82" customWidth="1"/>
    <col min="16" max="16" width="8.875" style="82" bestFit="1" customWidth="1"/>
    <col min="17" max="16384" width="8.00390625" style="82" customWidth="1"/>
  </cols>
  <sheetData>
    <row r="1" spans="1:10" ht="12" customHeight="1">
      <c r="A1" s="23"/>
      <c r="B1" s="23"/>
      <c r="C1" s="23"/>
      <c r="D1" s="23"/>
      <c r="E1" s="23"/>
      <c r="F1" s="23"/>
      <c r="G1" s="23"/>
      <c r="H1" s="72"/>
      <c r="I1" s="23"/>
      <c r="J1" s="84"/>
    </row>
    <row r="2" spans="1:10" ht="19.5" customHeight="1">
      <c r="A2" s="73"/>
      <c r="B2" s="80" t="str">
        <f>"HSB:s Brf "&amp;BRF_Namn</f>
        <v>HSB:s Brf Munken</v>
      </c>
      <c r="C2" s="80"/>
      <c r="D2" s="80"/>
      <c r="E2" s="73"/>
      <c r="F2" s="73"/>
      <c r="G2" s="28"/>
      <c r="H2" s="74"/>
      <c r="I2" s="73"/>
      <c r="J2" s="84"/>
    </row>
    <row r="3" spans="1:10" ht="12" customHeight="1">
      <c r="A3" s="73"/>
      <c r="B3" s="73"/>
      <c r="C3" s="73"/>
      <c r="D3" s="73"/>
      <c r="E3" s="73"/>
      <c r="F3" s="73"/>
      <c r="G3" s="73"/>
      <c r="H3" s="74"/>
      <c r="I3" s="73"/>
      <c r="J3" s="84"/>
    </row>
    <row r="4" spans="1:9" ht="13.5" customHeight="1">
      <c r="A4" s="54"/>
      <c r="B4" s="54"/>
      <c r="C4" s="54"/>
      <c r="D4" s="54"/>
      <c r="E4" s="54"/>
      <c r="F4" s="54"/>
      <c r="G4" s="58"/>
      <c r="H4" s="54"/>
      <c r="I4" s="58"/>
    </row>
    <row r="5" spans="1:9" ht="19.5" thickBot="1">
      <c r="A5" s="55" t="s">
        <v>194</v>
      </c>
      <c r="B5" s="56"/>
      <c r="C5" s="56"/>
      <c r="D5" s="56"/>
      <c r="E5" s="56"/>
      <c r="F5" s="56"/>
      <c r="G5" s="68">
        <f>Ar_1</f>
        <v>39447</v>
      </c>
      <c r="H5" s="56"/>
      <c r="I5" s="68">
        <f>Ar_2</f>
        <v>39082</v>
      </c>
    </row>
    <row r="6" spans="1:9" ht="12" customHeight="1">
      <c r="A6" s="23"/>
      <c r="B6" s="23"/>
      <c r="C6" s="23"/>
      <c r="D6" s="23"/>
      <c r="E6" s="23"/>
      <c r="F6" s="23"/>
      <c r="G6" s="72"/>
      <c r="H6" s="23"/>
      <c r="I6" s="72"/>
    </row>
    <row r="7" spans="1:9" ht="15.75">
      <c r="A7" s="50" t="s">
        <v>195</v>
      </c>
      <c r="B7" s="85"/>
      <c r="C7" s="85"/>
      <c r="D7" s="85"/>
      <c r="E7" s="85"/>
      <c r="F7" s="85"/>
      <c r="G7" s="85"/>
      <c r="H7" s="86"/>
      <c r="I7" s="85"/>
    </row>
    <row r="8" spans="1:9" ht="6.75" customHeight="1">
      <c r="A8" s="50"/>
      <c r="B8" s="85"/>
      <c r="C8" s="85"/>
      <c r="D8" s="85"/>
      <c r="E8" s="85"/>
      <c r="F8" s="85"/>
      <c r="G8" s="85"/>
      <c r="H8" s="86"/>
      <c r="I8" s="85"/>
    </row>
    <row r="9" spans="1:9" ht="15.75">
      <c r="A9" s="85" t="s">
        <v>196</v>
      </c>
      <c r="B9" s="85"/>
      <c r="C9" s="85"/>
      <c r="D9" s="85"/>
      <c r="E9" s="85"/>
      <c r="F9" s="85"/>
      <c r="G9" s="92">
        <f>224295-101400</f>
        <v>122895</v>
      </c>
      <c r="H9" s="82"/>
      <c r="I9" s="92">
        <v>911694</v>
      </c>
    </row>
    <row r="10" spans="1:9" ht="15.75">
      <c r="A10" s="85"/>
      <c r="B10" s="85"/>
      <c r="C10" s="85"/>
      <c r="D10" s="85"/>
      <c r="E10" s="85"/>
      <c r="F10" s="85"/>
      <c r="G10" s="92"/>
      <c r="H10" s="82"/>
      <c r="I10" s="92"/>
    </row>
    <row r="11" spans="1:9" ht="15.75">
      <c r="A11" s="88" t="s">
        <v>197</v>
      </c>
      <c r="B11" s="85"/>
      <c r="C11" s="85"/>
      <c r="D11" s="85"/>
      <c r="E11" s="85"/>
      <c r="F11" s="85"/>
      <c r="G11" s="92"/>
      <c r="H11" s="82"/>
      <c r="I11" s="92"/>
    </row>
    <row r="12" spans="1:9" ht="6.75" customHeight="1">
      <c r="A12" s="85"/>
      <c r="B12" s="85"/>
      <c r="C12" s="85"/>
      <c r="D12" s="85"/>
      <c r="E12" s="85"/>
      <c r="F12" s="85"/>
      <c r="G12" s="92"/>
      <c r="H12" s="82"/>
      <c r="I12" s="92"/>
    </row>
    <row r="13" spans="1:14" ht="15.75">
      <c r="A13" s="85" t="s">
        <v>13</v>
      </c>
      <c r="B13" s="85"/>
      <c r="C13" s="85"/>
      <c r="D13" s="85"/>
      <c r="E13" s="85"/>
      <c r="F13" s="85"/>
      <c r="G13" s="92">
        <v>370147</v>
      </c>
      <c r="H13" s="82"/>
      <c r="I13" s="92">
        <v>368122</v>
      </c>
      <c r="K13" s="83"/>
      <c r="L13" s="83"/>
      <c r="M13" s="83"/>
      <c r="N13" s="83"/>
    </row>
    <row r="14" spans="1:14" ht="15.75" hidden="1">
      <c r="A14" s="85" t="s">
        <v>198</v>
      </c>
      <c r="B14" s="85"/>
      <c r="C14" s="85"/>
      <c r="D14" s="85"/>
      <c r="E14" s="85"/>
      <c r="F14" s="85"/>
      <c r="G14" s="92">
        <v>0</v>
      </c>
      <c r="H14" s="82"/>
      <c r="I14" s="92">
        <v>0</v>
      </c>
      <c r="K14" s="83"/>
      <c r="L14" s="83"/>
      <c r="M14" s="83"/>
      <c r="N14" s="83"/>
    </row>
    <row r="15" spans="1:16" ht="15.75" hidden="1">
      <c r="A15" s="85" t="s">
        <v>199</v>
      </c>
      <c r="B15" s="85"/>
      <c r="C15" s="85"/>
      <c r="D15" s="85"/>
      <c r="E15" s="85"/>
      <c r="F15" s="85"/>
      <c r="G15" s="92">
        <v>0</v>
      </c>
      <c r="H15" s="82"/>
      <c r="I15" s="92">
        <v>0</v>
      </c>
      <c r="L15" s="83"/>
      <c r="M15" s="83"/>
      <c r="N15" s="83"/>
      <c r="O15" s="83"/>
      <c r="P15" s="83"/>
    </row>
    <row r="16" spans="1:16" ht="15.75" hidden="1">
      <c r="A16" s="85" t="s">
        <v>200</v>
      </c>
      <c r="B16" s="85"/>
      <c r="C16" s="85"/>
      <c r="D16" s="85"/>
      <c r="E16" s="85"/>
      <c r="F16" s="85"/>
      <c r="G16" s="92">
        <v>0</v>
      </c>
      <c r="H16" s="82"/>
      <c r="I16" s="92">
        <v>0</v>
      </c>
      <c r="K16" s="83"/>
      <c r="L16" s="83"/>
      <c r="M16" s="83"/>
      <c r="N16" s="83"/>
      <c r="O16" s="83"/>
      <c r="P16" s="83"/>
    </row>
    <row r="17" spans="1:16" ht="15.75" hidden="1">
      <c r="A17" s="85" t="s">
        <v>52</v>
      </c>
      <c r="B17" s="85"/>
      <c r="C17" s="85"/>
      <c r="D17" s="85"/>
      <c r="E17" s="85"/>
      <c r="F17" s="85"/>
      <c r="G17" s="92">
        <v>0</v>
      </c>
      <c r="H17" s="82"/>
      <c r="I17" s="92">
        <v>0</v>
      </c>
      <c r="K17" s="83"/>
      <c r="L17" s="83"/>
      <c r="M17" s="83"/>
      <c r="N17" s="83"/>
      <c r="O17" s="83"/>
      <c r="P17" s="83"/>
    </row>
    <row r="18" spans="1:16" ht="15.75">
      <c r="A18" s="85" t="s">
        <v>114</v>
      </c>
      <c r="B18" s="85"/>
      <c r="C18" s="85"/>
      <c r="D18" s="85"/>
      <c r="E18" s="85"/>
      <c r="F18" s="85"/>
      <c r="G18" s="93">
        <v>-40796</v>
      </c>
      <c r="H18" s="82"/>
      <c r="I18" s="93">
        <v>-468424</v>
      </c>
      <c r="K18" s="83"/>
      <c r="L18" s="83"/>
      <c r="M18" s="83"/>
      <c r="N18" s="83"/>
      <c r="O18" s="83"/>
      <c r="P18" s="83"/>
    </row>
    <row r="19" spans="1:16" ht="30" customHeight="1">
      <c r="A19" s="284" t="s">
        <v>216</v>
      </c>
      <c r="B19" s="285"/>
      <c r="C19" s="285"/>
      <c r="D19" s="285"/>
      <c r="E19" s="285"/>
      <c r="F19" s="85"/>
      <c r="G19" s="94">
        <f>SUM(G9:G18)</f>
        <v>452246</v>
      </c>
      <c r="H19" s="82"/>
      <c r="I19" s="94">
        <f>SUM(I9:I18)</f>
        <v>811392</v>
      </c>
      <c r="K19" s="83"/>
      <c r="L19" s="83"/>
      <c r="M19" s="83"/>
      <c r="N19" s="83"/>
      <c r="O19" s="83"/>
      <c r="P19" s="83"/>
    </row>
    <row r="20" spans="1:16" ht="15.75">
      <c r="A20" s="87"/>
      <c r="B20" s="85"/>
      <c r="C20" s="85"/>
      <c r="D20" s="85"/>
      <c r="E20" s="85"/>
      <c r="F20" s="89"/>
      <c r="G20" s="95"/>
      <c r="H20" s="82"/>
      <c r="I20" s="95"/>
      <c r="K20" s="83"/>
      <c r="L20" s="83"/>
      <c r="M20" s="83"/>
      <c r="N20" s="83"/>
      <c r="O20" s="83"/>
      <c r="P20" s="83"/>
    </row>
    <row r="21" spans="1:16" ht="15.75">
      <c r="A21" s="87" t="s">
        <v>217</v>
      </c>
      <c r="B21" s="85"/>
      <c r="C21" s="85"/>
      <c r="D21" s="85"/>
      <c r="E21" s="85"/>
      <c r="F21" s="85"/>
      <c r="G21" s="92"/>
      <c r="H21" s="86"/>
      <c r="I21" s="92"/>
      <c r="K21" s="83"/>
      <c r="L21" s="83"/>
      <c r="M21" s="83"/>
      <c r="O21" s="83"/>
      <c r="P21" s="83"/>
    </row>
    <row r="22" spans="1:13" ht="15.75" hidden="1">
      <c r="A22" s="85" t="s">
        <v>201</v>
      </c>
      <c r="B22" s="85"/>
      <c r="C22" s="85"/>
      <c r="D22" s="85"/>
      <c r="E22" s="85"/>
      <c r="F22" s="85"/>
      <c r="G22" s="92">
        <v>0</v>
      </c>
      <c r="H22" s="82"/>
      <c r="I22" s="92">
        <v>0</v>
      </c>
      <c r="M22" s="83"/>
    </row>
    <row r="23" spans="1:9" ht="15.75">
      <c r="A23" s="85" t="s">
        <v>202</v>
      </c>
      <c r="B23" s="85"/>
      <c r="C23" s="85"/>
      <c r="D23" s="85"/>
      <c r="E23" s="85"/>
      <c r="F23" s="85"/>
      <c r="G23" s="92">
        <v>60380</v>
      </c>
      <c r="H23" s="82"/>
      <c r="I23" s="92">
        <v>7921</v>
      </c>
    </row>
    <row r="24" spans="1:9" ht="15.75">
      <c r="A24" s="85"/>
      <c r="B24" s="85"/>
      <c r="C24" s="85"/>
      <c r="D24" s="85"/>
      <c r="E24" s="85"/>
      <c r="F24" s="85"/>
      <c r="G24" s="92"/>
      <c r="H24" s="82"/>
      <c r="I24" s="92"/>
    </row>
    <row r="25" spans="1:9" ht="15.75">
      <c r="A25" s="85" t="s">
        <v>203</v>
      </c>
      <c r="B25" s="85"/>
      <c r="C25" s="85"/>
      <c r="D25" s="85"/>
      <c r="E25" s="85"/>
      <c r="F25" s="85"/>
      <c r="G25" s="93">
        <f>2903031+101400</f>
        <v>3004431</v>
      </c>
      <c r="H25" s="82"/>
      <c r="I25" s="93">
        <v>596967</v>
      </c>
    </row>
    <row r="26" spans="1:10" ht="15.75">
      <c r="A26" s="87" t="s">
        <v>218</v>
      </c>
      <c r="B26" s="85"/>
      <c r="C26" s="85"/>
      <c r="D26" s="85"/>
      <c r="E26" s="85"/>
      <c r="F26" s="89"/>
      <c r="G26" s="94">
        <f>SUM(G19:G25)</f>
        <v>3517057</v>
      </c>
      <c r="H26" s="82"/>
      <c r="I26" s="94">
        <f>SUM(I19:I25)</f>
        <v>1416280</v>
      </c>
      <c r="J26" s="83"/>
    </row>
    <row r="27" spans="1:10" ht="15.75">
      <c r="A27" s="87"/>
      <c r="B27" s="85"/>
      <c r="C27" s="85"/>
      <c r="D27" s="85"/>
      <c r="E27" s="85"/>
      <c r="F27" s="89"/>
      <c r="G27" s="94"/>
      <c r="H27" s="82"/>
      <c r="I27" s="94"/>
      <c r="J27" s="83"/>
    </row>
    <row r="28" spans="1:10" ht="15.75">
      <c r="A28" s="85"/>
      <c r="B28" s="85"/>
      <c r="C28" s="85"/>
      <c r="D28" s="85"/>
      <c r="E28" s="85"/>
      <c r="F28" s="85"/>
      <c r="G28" s="92"/>
      <c r="H28" s="86"/>
      <c r="I28" s="92"/>
      <c r="J28" s="83"/>
    </row>
    <row r="29" spans="1:9" ht="15.75">
      <c r="A29" s="87" t="s">
        <v>204</v>
      </c>
      <c r="B29" s="85"/>
      <c r="C29" s="85"/>
      <c r="D29" s="85"/>
      <c r="E29" s="85"/>
      <c r="F29" s="85"/>
      <c r="G29" s="92"/>
      <c r="H29" s="86"/>
      <c r="I29" s="92"/>
    </row>
    <row r="30" spans="1:9" ht="6.75" customHeight="1" hidden="1">
      <c r="A30" s="87"/>
      <c r="B30" s="85"/>
      <c r="C30" s="85"/>
      <c r="D30" s="85"/>
      <c r="E30" s="85"/>
      <c r="F30" s="85"/>
      <c r="G30" s="92"/>
      <c r="H30" s="86"/>
      <c r="I30" s="92"/>
    </row>
    <row r="31" spans="1:9" ht="15.75" hidden="1">
      <c r="A31" s="85" t="s">
        <v>205</v>
      </c>
      <c r="B31" s="85"/>
      <c r="C31" s="85"/>
      <c r="D31" s="85"/>
      <c r="E31" s="85"/>
      <c r="F31" s="85"/>
      <c r="G31" s="92">
        <v>0</v>
      </c>
      <c r="H31" s="82"/>
      <c r="I31" s="92">
        <v>0</v>
      </c>
    </row>
    <row r="32" spans="1:9" ht="15.75" hidden="1">
      <c r="A32" s="85" t="s">
        <v>206</v>
      </c>
      <c r="B32" s="85"/>
      <c r="C32" s="85"/>
      <c r="D32" s="85"/>
      <c r="E32" s="85"/>
      <c r="F32" s="85"/>
      <c r="G32" s="92">
        <v>0</v>
      </c>
      <c r="H32" s="82"/>
      <c r="I32" s="92">
        <v>0</v>
      </c>
    </row>
    <row r="33" spans="1:9" ht="31.5" customHeight="1" hidden="1">
      <c r="A33" s="286" t="s">
        <v>207</v>
      </c>
      <c r="B33" s="286"/>
      <c r="C33" s="286"/>
      <c r="D33" s="286"/>
      <c r="E33" s="286"/>
      <c r="F33" s="85"/>
      <c r="G33" s="93">
        <v>0</v>
      </c>
      <c r="H33" s="82"/>
      <c r="I33" s="93">
        <v>0</v>
      </c>
    </row>
    <row r="34" spans="1:9" ht="15.75" hidden="1">
      <c r="A34" s="87" t="s">
        <v>208</v>
      </c>
      <c r="B34" s="85"/>
      <c r="C34" s="85"/>
      <c r="D34" s="85"/>
      <c r="E34" s="85"/>
      <c r="F34" s="89"/>
      <c r="G34" s="94">
        <f>SUM(G31:G33)</f>
        <v>0</v>
      </c>
      <c r="H34" s="82"/>
      <c r="I34" s="94">
        <f>SUM(I31:I33)</f>
        <v>0</v>
      </c>
    </row>
    <row r="35" spans="1:9" ht="15.75">
      <c r="A35" s="85"/>
      <c r="B35" s="85"/>
      <c r="C35" s="85"/>
      <c r="D35" s="85"/>
      <c r="E35" s="85"/>
      <c r="F35" s="85"/>
      <c r="G35" s="95"/>
      <c r="H35" s="86"/>
      <c r="I35" s="95"/>
    </row>
    <row r="36" spans="1:9" ht="15.75">
      <c r="A36" s="87" t="s">
        <v>209</v>
      </c>
      <c r="B36" s="85"/>
      <c r="C36" s="85"/>
      <c r="D36" s="85"/>
      <c r="E36" s="85"/>
      <c r="F36" s="85"/>
      <c r="G36" s="95"/>
      <c r="H36" s="86"/>
      <c r="I36" s="95"/>
    </row>
    <row r="37" spans="1:9" ht="15.75">
      <c r="A37" s="85" t="s">
        <v>210</v>
      </c>
      <c r="B37" s="85"/>
      <c r="C37" s="85"/>
      <c r="D37" s="85"/>
      <c r="E37" s="85"/>
      <c r="F37" s="85"/>
      <c r="G37" s="93">
        <v>-3573752</v>
      </c>
      <c r="H37" s="82"/>
      <c r="I37" s="93">
        <v>-1151627</v>
      </c>
    </row>
    <row r="38" spans="1:9" ht="15.75" hidden="1">
      <c r="A38" s="85" t="s">
        <v>211</v>
      </c>
      <c r="B38" s="85"/>
      <c r="C38" s="85"/>
      <c r="D38" s="85"/>
      <c r="E38" s="85"/>
      <c r="F38" s="85"/>
      <c r="G38" s="93">
        <v>0</v>
      </c>
      <c r="H38" s="82"/>
      <c r="I38" s="93">
        <v>0</v>
      </c>
    </row>
    <row r="39" spans="1:9" ht="15.75">
      <c r="A39" s="87" t="s">
        <v>212</v>
      </c>
      <c r="B39" s="85"/>
      <c r="C39" s="85"/>
      <c r="D39" s="85"/>
      <c r="E39" s="85"/>
      <c r="F39" s="89"/>
      <c r="G39" s="94">
        <f>SUM(G37:G38)</f>
        <v>-3573752</v>
      </c>
      <c r="H39" s="82"/>
      <c r="I39" s="94">
        <f>SUM(I37:I38)</f>
        <v>-1151627</v>
      </c>
    </row>
    <row r="40" spans="1:9" ht="15.75">
      <c r="A40" s="85"/>
      <c r="B40" s="85"/>
      <c r="C40" s="85"/>
      <c r="D40" s="85"/>
      <c r="E40" s="85"/>
      <c r="F40" s="85"/>
      <c r="G40" s="92"/>
      <c r="H40" s="82"/>
      <c r="I40" s="92"/>
    </row>
    <row r="41" spans="1:9" ht="15.75">
      <c r="A41" s="87" t="s">
        <v>213</v>
      </c>
      <c r="B41" s="85"/>
      <c r="C41" s="85"/>
      <c r="D41" s="85"/>
      <c r="E41" s="85"/>
      <c r="F41" s="85"/>
      <c r="G41" s="94">
        <f>G26+G34+G39</f>
        <v>-56695</v>
      </c>
      <c r="H41" s="82"/>
      <c r="I41" s="94">
        <f>I26+I34+I39</f>
        <v>264653</v>
      </c>
    </row>
    <row r="42" spans="1:9" ht="15.75">
      <c r="A42" s="85"/>
      <c r="B42" s="85"/>
      <c r="C42" s="85"/>
      <c r="D42" s="85"/>
      <c r="E42" s="85"/>
      <c r="F42" s="85"/>
      <c r="G42" s="92"/>
      <c r="H42" s="82"/>
      <c r="I42" s="92"/>
    </row>
    <row r="43" spans="1:9" ht="15.75">
      <c r="A43" s="87" t="s">
        <v>214</v>
      </c>
      <c r="B43" s="85"/>
      <c r="C43" s="85"/>
      <c r="D43" s="85"/>
      <c r="E43" s="85"/>
      <c r="F43" s="85"/>
      <c r="G43" s="92">
        <v>2524074</v>
      </c>
      <c r="H43" s="82"/>
      <c r="I43" s="92">
        <v>2259421</v>
      </c>
    </row>
    <row r="44" spans="1:9" ht="15.75">
      <c r="A44" s="87" t="s">
        <v>215</v>
      </c>
      <c r="B44" s="85"/>
      <c r="C44" s="85"/>
      <c r="D44" s="85"/>
      <c r="E44" s="85"/>
      <c r="F44" s="85"/>
      <c r="G44" s="92">
        <v>2467378</v>
      </c>
      <c r="H44" s="82"/>
      <c r="I44" s="92">
        <v>2524074</v>
      </c>
    </row>
    <row r="45" spans="1:9" ht="15.75">
      <c r="A45" s="85"/>
      <c r="B45" s="85"/>
      <c r="C45" s="85"/>
      <c r="D45" s="85"/>
      <c r="E45" s="85"/>
      <c r="F45" s="85"/>
      <c r="G45" s="96"/>
      <c r="H45" s="82"/>
      <c r="I45" s="85"/>
    </row>
    <row r="46" spans="1:9" ht="15.75">
      <c r="A46" s="85"/>
      <c r="B46" s="85"/>
      <c r="C46" s="85"/>
      <c r="D46" s="85"/>
      <c r="F46" s="91"/>
      <c r="G46" s="90"/>
      <c r="H46" s="82"/>
      <c r="I46" s="85"/>
    </row>
    <row r="47" spans="1:10" ht="15.75">
      <c r="A47" s="85"/>
      <c r="B47" s="85"/>
      <c r="C47" s="85"/>
      <c r="D47" s="85"/>
      <c r="E47" s="85"/>
      <c r="F47" s="85"/>
      <c r="G47" s="85"/>
      <c r="H47" s="86"/>
      <c r="I47" s="86"/>
      <c r="J47" s="83"/>
    </row>
    <row r="48" spans="1:9" ht="15.75">
      <c r="A48" s="85"/>
      <c r="B48" s="85"/>
      <c r="C48" s="85"/>
      <c r="D48" s="85"/>
      <c r="E48" s="85"/>
      <c r="F48" s="85"/>
      <c r="G48" s="85"/>
      <c r="H48" s="86"/>
      <c r="I48" s="85"/>
    </row>
    <row r="49" spans="1:9" ht="15.75">
      <c r="A49" s="87"/>
      <c r="B49" s="85"/>
      <c r="C49" s="85"/>
      <c r="D49" s="85"/>
      <c r="E49" s="85"/>
      <c r="F49" s="85"/>
      <c r="G49" s="85"/>
      <c r="H49" s="86"/>
      <c r="I49" s="85"/>
    </row>
    <row r="50" spans="1:9" ht="15.75">
      <c r="A50" s="85"/>
      <c r="B50" s="85"/>
      <c r="C50" s="85"/>
      <c r="D50" s="85"/>
      <c r="E50" s="85"/>
      <c r="F50" s="85"/>
      <c r="G50" s="85"/>
      <c r="H50" s="86"/>
      <c r="I50" s="85"/>
    </row>
    <row r="51" spans="1:9" ht="15.75">
      <c r="A51" s="85"/>
      <c r="B51" s="85"/>
      <c r="C51" s="85"/>
      <c r="D51" s="85"/>
      <c r="E51" s="85"/>
      <c r="F51" s="85"/>
      <c r="G51" s="85"/>
      <c r="H51" s="86"/>
      <c r="I51" s="85"/>
    </row>
    <row r="52" spans="1:9" ht="15.75">
      <c r="A52" s="85"/>
      <c r="B52" s="85"/>
      <c r="C52" s="85"/>
      <c r="D52" s="85"/>
      <c r="E52" s="85"/>
      <c r="F52" s="85"/>
      <c r="G52" s="85"/>
      <c r="H52" s="86"/>
      <c r="I52" s="85"/>
    </row>
    <row r="53" spans="1:9" ht="15.75">
      <c r="A53" s="85"/>
      <c r="B53" s="85"/>
      <c r="C53" s="85"/>
      <c r="D53" s="85"/>
      <c r="E53" s="85"/>
      <c r="F53" s="85"/>
      <c r="G53" s="85"/>
      <c r="H53" s="86"/>
      <c r="I53" s="85"/>
    </row>
    <row r="54" spans="1:9" ht="15.75">
      <c r="A54" s="85"/>
      <c r="B54" s="85"/>
      <c r="C54" s="85"/>
      <c r="D54" s="85"/>
      <c r="E54" s="85"/>
      <c r="F54" s="85"/>
      <c r="G54" s="85"/>
      <c r="H54" s="86"/>
      <c r="I54" s="85"/>
    </row>
    <row r="55" spans="1:9" ht="15.75">
      <c r="A55" s="85"/>
      <c r="B55" s="85"/>
      <c r="C55" s="85"/>
      <c r="D55" s="85"/>
      <c r="E55" s="85"/>
      <c r="F55" s="85"/>
      <c r="G55" s="85"/>
      <c r="H55" s="86"/>
      <c r="I55" s="85"/>
    </row>
    <row r="56" spans="1:9" ht="15.75">
      <c r="A56" s="85"/>
      <c r="B56" s="85"/>
      <c r="C56" s="85"/>
      <c r="D56" s="85"/>
      <c r="E56" s="85"/>
      <c r="F56" s="85"/>
      <c r="G56" s="85"/>
      <c r="H56" s="86"/>
      <c r="I56" s="85"/>
    </row>
    <row r="57" spans="1:9" ht="15.75">
      <c r="A57" s="85"/>
      <c r="B57" s="85"/>
      <c r="C57" s="85"/>
      <c r="D57" s="85"/>
      <c r="E57" s="85"/>
      <c r="F57" s="85"/>
      <c r="G57" s="85"/>
      <c r="H57" s="86"/>
      <c r="I57" s="85"/>
    </row>
    <row r="58" spans="1:9" ht="15.75">
      <c r="A58" s="85"/>
      <c r="B58" s="85"/>
      <c r="C58" s="85"/>
      <c r="D58" s="85"/>
      <c r="E58" s="85"/>
      <c r="F58" s="85"/>
      <c r="G58" s="85"/>
      <c r="H58" s="86"/>
      <c r="I58" s="85"/>
    </row>
    <row r="59" spans="1:9" ht="15.75">
      <c r="A59" s="85"/>
      <c r="B59" s="85"/>
      <c r="C59" s="85"/>
      <c r="D59" s="85"/>
      <c r="E59" s="85"/>
      <c r="F59" s="85"/>
      <c r="G59" s="85"/>
      <c r="H59" s="86"/>
      <c r="I59" s="85"/>
    </row>
    <row r="60" spans="1:9" ht="15.75">
      <c r="A60" s="85"/>
      <c r="B60" s="85"/>
      <c r="C60" s="85"/>
      <c r="D60" s="85"/>
      <c r="E60" s="85"/>
      <c r="F60" s="85"/>
      <c r="G60" s="85"/>
      <c r="H60" s="86"/>
      <c r="I60" s="85"/>
    </row>
    <row r="61" spans="1:9" ht="15.75">
      <c r="A61" s="85"/>
      <c r="B61" s="85"/>
      <c r="C61" s="85"/>
      <c r="D61" s="85"/>
      <c r="E61" s="85"/>
      <c r="F61" s="85"/>
      <c r="G61" s="85"/>
      <c r="H61" s="86"/>
      <c r="I61" s="85"/>
    </row>
    <row r="62" spans="1:9" ht="15.75">
      <c r="A62" s="85"/>
      <c r="B62" s="85"/>
      <c r="C62" s="85"/>
      <c r="D62" s="85"/>
      <c r="E62" s="85"/>
      <c r="F62" s="85"/>
      <c r="G62" s="85"/>
      <c r="H62" s="86"/>
      <c r="I62" s="85"/>
    </row>
    <row r="63" spans="1:9" ht="15.75">
      <c r="A63" s="85"/>
      <c r="B63" s="85"/>
      <c r="C63" s="85"/>
      <c r="D63" s="85"/>
      <c r="E63" s="85"/>
      <c r="F63" s="85"/>
      <c r="G63" s="85"/>
      <c r="H63" s="86"/>
      <c r="I63" s="85"/>
    </row>
    <row r="64" spans="1:9" ht="15.75">
      <c r="A64" s="85"/>
      <c r="B64" s="85"/>
      <c r="C64" s="85"/>
      <c r="D64" s="85"/>
      <c r="E64" s="85"/>
      <c r="F64" s="85"/>
      <c r="G64" s="85"/>
      <c r="H64" s="86"/>
      <c r="I64" s="85"/>
    </row>
    <row r="65" spans="1:9" ht="15.75">
      <c r="A65" s="85"/>
      <c r="B65" s="85"/>
      <c r="C65" s="85"/>
      <c r="D65" s="85"/>
      <c r="E65" s="85"/>
      <c r="F65" s="85"/>
      <c r="G65" s="85"/>
      <c r="H65" s="86"/>
      <c r="I65" s="85"/>
    </row>
    <row r="66" spans="1:9" ht="15.75">
      <c r="A66" s="85"/>
      <c r="B66" s="85"/>
      <c r="C66" s="85"/>
      <c r="D66" s="85"/>
      <c r="E66" s="85"/>
      <c r="F66" s="85"/>
      <c r="G66" s="85"/>
      <c r="H66" s="86"/>
      <c r="I66" s="85"/>
    </row>
    <row r="67" spans="1:9" ht="15.75">
      <c r="A67" s="85"/>
      <c r="B67" s="85"/>
      <c r="C67" s="85"/>
      <c r="D67" s="85"/>
      <c r="E67" s="85"/>
      <c r="F67" s="85"/>
      <c r="G67" s="85"/>
      <c r="H67" s="86"/>
      <c r="I67" s="85"/>
    </row>
    <row r="68" spans="1:9" ht="15.75">
      <c r="A68" s="85"/>
      <c r="B68" s="85"/>
      <c r="C68" s="85"/>
      <c r="D68" s="85"/>
      <c r="E68" s="85"/>
      <c r="F68" s="85"/>
      <c r="G68" s="85"/>
      <c r="H68" s="86"/>
      <c r="I68" s="85"/>
    </row>
    <row r="69" spans="1:9" ht="15.75">
      <c r="A69" s="85"/>
      <c r="B69" s="85"/>
      <c r="C69" s="85"/>
      <c r="D69" s="85"/>
      <c r="E69" s="85"/>
      <c r="F69" s="85"/>
      <c r="G69" s="85"/>
      <c r="H69" s="86"/>
      <c r="I69" s="85"/>
    </row>
    <row r="70" spans="1:9" ht="15.75">
      <c r="A70" s="85"/>
      <c r="B70" s="85"/>
      <c r="C70" s="85"/>
      <c r="D70" s="85"/>
      <c r="E70" s="85"/>
      <c r="F70" s="85"/>
      <c r="G70" s="85"/>
      <c r="H70" s="86"/>
      <c r="I70" s="85"/>
    </row>
    <row r="71" spans="1:9" ht="15.75">
      <c r="A71" s="85"/>
      <c r="B71" s="85"/>
      <c r="C71" s="85"/>
      <c r="D71" s="85"/>
      <c r="E71" s="85"/>
      <c r="F71" s="85"/>
      <c r="G71" s="85"/>
      <c r="H71" s="86"/>
      <c r="I71" s="85"/>
    </row>
    <row r="72" spans="1:9" ht="15.75">
      <c r="A72" s="85"/>
      <c r="B72" s="85"/>
      <c r="C72" s="85"/>
      <c r="D72" s="85"/>
      <c r="E72" s="85"/>
      <c r="F72" s="85"/>
      <c r="G72" s="85"/>
      <c r="H72" s="86"/>
      <c r="I72" s="85"/>
    </row>
    <row r="73" spans="1:9" ht="15.75">
      <c r="A73" s="85"/>
      <c r="B73" s="85"/>
      <c r="C73" s="85"/>
      <c r="D73" s="85"/>
      <c r="E73" s="85"/>
      <c r="F73" s="85"/>
      <c r="G73" s="85"/>
      <c r="H73" s="86"/>
      <c r="I73" s="85"/>
    </row>
    <row r="74" spans="1:9" ht="15.75">
      <c r="A74" s="85"/>
      <c r="B74" s="85"/>
      <c r="C74" s="85"/>
      <c r="D74" s="85"/>
      <c r="E74" s="85"/>
      <c r="F74" s="85"/>
      <c r="G74" s="85"/>
      <c r="H74" s="86"/>
      <c r="I74" s="85"/>
    </row>
    <row r="75" spans="1:9" ht="15.75">
      <c r="A75" s="85"/>
      <c r="B75" s="85"/>
      <c r="C75" s="85"/>
      <c r="D75" s="85"/>
      <c r="E75" s="85"/>
      <c r="F75" s="85"/>
      <c r="G75" s="85"/>
      <c r="H75" s="86"/>
      <c r="I75" s="85"/>
    </row>
    <row r="76" spans="1:9" ht="15.75">
      <c r="A76" s="85"/>
      <c r="B76" s="85"/>
      <c r="C76" s="85"/>
      <c r="D76" s="85"/>
      <c r="E76" s="85"/>
      <c r="F76" s="85"/>
      <c r="G76" s="85"/>
      <c r="H76" s="86"/>
      <c r="I76" s="85"/>
    </row>
    <row r="77" spans="1:9" ht="15.75">
      <c r="A77" s="85"/>
      <c r="B77" s="85"/>
      <c r="C77" s="85"/>
      <c r="D77" s="85"/>
      <c r="E77" s="85"/>
      <c r="F77" s="85"/>
      <c r="G77" s="85"/>
      <c r="H77" s="86"/>
      <c r="I77" s="85"/>
    </row>
    <row r="78" spans="1:9" ht="15.75">
      <c r="A78" s="85"/>
      <c r="B78" s="85"/>
      <c r="C78" s="85"/>
      <c r="D78" s="85"/>
      <c r="E78" s="85"/>
      <c r="F78" s="85"/>
      <c r="G78" s="85"/>
      <c r="H78" s="86"/>
      <c r="I78" s="85"/>
    </row>
    <row r="79" spans="1:9" ht="15.75">
      <c r="A79" s="85"/>
      <c r="B79" s="85"/>
      <c r="C79" s="85"/>
      <c r="D79" s="85"/>
      <c r="E79" s="85"/>
      <c r="F79" s="85"/>
      <c r="G79" s="85"/>
      <c r="H79" s="86"/>
      <c r="I79" s="85"/>
    </row>
    <row r="80" spans="1:9" ht="15.75">
      <c r="A80" s="85"/>
      <c r="B80" s="85"/>
      <c r="C80" s="85"/>
      <c r="D80" s="85"/>
      <c r="E80" s="85"/>
      <c r="F80" s="85"/>
      <c r="G80" s="85"/>
      <c r="H80" s="86"/>
      <c r="I80" s="85"/>
    </row>
    <row r="81" spans="1:9" ht="15.75">
      <c r="A81" s="85"/>
      <c r="B81" s="85"/>
      <c r="C81" s="85"/>
      <c r="D81" s="85"/>
      <c r="E81" s="85"/>
      <c r="F81" s="85"/>
      <c r="G81" s="85"/>
      <c r="H81" s="86"/>
      <c r="I81" s="85"/>
    </row>
    <row r="82" spans="1:9" ht="15.75">
      <c r="A82" s="85"/>
      <c r="B82" s="85"/>
      <c r="C82" s="85"/>
      <c r="D82" s="85"/>
      <c r="E82" s="85"/>
      <c r="F82" s="85"/>
      <c r="G82" s="85"/>
      <c r="H82" s="86"/>
      <c r="I82" s="85"/>
    </row>
    <row r="83" spans="1:9" ht="15.75">
      <c r="A83" s="85"/>
      <c r="B83" s="85"/>
      <c r="C83" s="85"/>
      <c r="D83" s="85"/>
      <c r="E83" s="85"/>
      <c r="F83" s="85"/>
      <c r="G83" s="85"/>
      <c r="H83" s="86"/>
      <c r="I83" s="85"/>
    </row>
    <row r="84" spans="1:9" ht="15.75">
      <c r="A84" s="85"/>
      <c r="B84" s="85"/>
      <c r="C84" s="85"/>
      <c r="D84" s="85"/>
      <c r="E84" s="85"/>
      <c r="F84" s="85"/>
      <c r="G84" s="85"/>
      <c r="H84" s="86"/>
      <c r="I84" s="85"/>
    </row>
    <row r="85" spans="1:9" ht="15.75">
      <c r="A85" s="85"/>
      <c r="B85" s="85"/>
      <c r="C85" s="85"/>
      <c r="D85" s="85"/>
      <c r="E85" s="85"/>
      <c r="F85" s="85"/>
      <c r="G85" s="85"/>
      <c r="H85" s="86"/>
      <c r="I85" s="85"/>
    </row>
    <row r="86" spans="1:9" ht="15.75">
      <c r="A86" s="85"/>
      <c r="B86" s="85"/>
      <c r="C86" s="85"/>
      <c r="D86" s="85"/>
      <c r="E86" s="85"/>
      <c r="F86" s="85"/>
      <c r="G86" s="85"/>
      <c r="H86" s="86"/>
      <c r="I86" s="85"/>
    </row>
    <row r="87" spans="1:9" ht="15.75">
      <c r="A87" s="85"/>
      <c r="B87" s="85"/>
      <c r="C87" s="85"/>
      <c r="D87" s="85"/>
      <c r="E87" s="85"/>
      <c r="F87" s="85"/>
      <c r="G87" s="85"/>
      <c r="H87" s="86"/>
      <c r="I87" s="85"/>
    </row>
    <row r="88" spans="1:9" ht="15.75">
      <c r="A88" s="85"/>
      <c r="B88" s="85"/>
      <c r="C88" s="85"/>
      <c r="D88" s="85"/>
      <c r="E88" s="85"/>
      <c r="F88" s="85"/>
      <c r="G88" s="85"/>
      <c r="H88" s="86"/>
      <c r="I88" s="85"/>
    </row>
    <row r="89" spans="1:9" ht="15.75">
      <c r="A89" s="85"/>
      <c r="B89" s="85"/>
      <c r="C89" s="85"/>
      <c r="D89" s="85"/>
      <c r="E89" s="85"/>
      <c r="F89" s="85"/>
      <c r="G89" s="85"/>
      <c r="H89" s="86"/>
      <c r="I89" s="85"/>
    </row>
    <row r="90" spans="1:9" ht="15.75">
      <c r="A90" s="85"/>
      <c r="B90" s="85"/>
      <c r="C90" s="85"/>
      <c r="D90" s="85"/>
      <c r="E90" s="85"/>
      <c r="F90" s="85"/>
      <c r="G90" s="85"/>
      <c r="H90" s="86"/>
      <c r="I90" s="85"/>
    </row>
    <row r="91" spans="1:9" ht="15.75">
      <c r="A91" s="85"/>
      <c r="B91" s="85"/>
      <c r="C91" s="85"/>
      <c r="D91" s="85"/>
      <c r="E91" s="85"/>
      <c r="F91" s="85"/>
      <c r="G91" s="85"/>
      <c r="H91" s="86"/>
      <c r="I91" s="85"/>
    </row>
    <row r="92" spans="1:9" ht="15.75">
      <c r="A92" s="85"/>
      <c r="B92" s="85"/>
      <c r="C92" s="85"/>
      <c r="D92" s="85"/>
      <c r="E92" s="85"/>
      <c r="F92" s="85"/>
      <c r="G92" s="85"/>
      <c r="H92" s="86"/>
      <c r="I92" s="85"/>
    </row>
    <row r="93" spans="1:9" ht="15.75">
      <c r="A93" s="85"/>
      <c r="B93" s="85"/>
      <c r="C93" s="85"/>
      <c r="D93" s="85"/>
      <c r="E93" s="85"/>
      <c r="F93" s="85"/>
      <c r="G93" s="85"/>
      <c r="H93" s="86"/>
      <c r="I93" s="85"/>
    </row>
    <row r="94" spans="1:9" ht="15.75">
      <c r="A94" s="85"/>
      <c r="B94" s="85"/>
      <c r="C94" s="85"/>
      <c r="D94" s="85"/>
      <c r="E94" s="85"/>
      <c r="F94" s="85"/>
      <c r="G94" s="85"/>
      <c r="H94" s="86"/>
      <c r="I94" s="85"/>
    </row>
    <row r="95" spans="1:9" ht="15.75">
      <c r="A95" s="85"/>
      <c r="B95" s="85"/>
      <c r="C95" s="85"/>
      <c r="D95" s="85"/>
      <c r="E95" s="85"/>
      <c r="F95" s="85"/>
      <c r="G95" s="85"/>
      <c r="H95" s="86"/>
      <c r="I95" s="85"/>
    </row>
    <row r="96" spans="1:9" ht="15.75">
      <c r="A96" s="85"/>
      <c r="B96" s="85"/>
      <c r="C96" s="85"/>
      <c r="D96" s="85"/>
      <c r="E96" s="85"/>
      <c r="F96" s="85"/>
      <c r="G96" s="85"/>
      <c r="H96" s="86"/>
      <c r="I96" s="85"/>
    </row>
    <row r="97" spans="1:9" ht="15.75">
      <c r="A97" s="85"/>
      <c r="B97" s="85"/>
      <c r="C97" s="85"/>
      <c r="D97" s="85"/>
      <c r="E97" s="85"/>
      <c r="F97" s="85"/>
      <c r="G97" s="85"/>
      <c r="H97" s="86"/>
      <c r="I97" s="85"/>
    </row>
    <row r="98" spans="1:9" ht="15.75">
      <c r="A98" s="85"/>
      <c r="B98" s="85"/>
      <c r="C98" s="85"/>
      <c r="D98" s="85"/>
      <c r="E98" s="85"/>
      <c r="F98" s="85"/>
      <c r="G98" s="85"/>
      <c r="H98" s="86"/>
      <c r="I98" s="85"/>
    </row>
    <row r="99" spans="1:9" ht="15.75">
      <c r="A99" s="85"/>
      <c r="B99" s="85"/>
      <c r="C99" s="85"/>
      <c r="D99" s="85"/>
      <c r="E99" s="85"/>
      <c r="F99" s="85"/>
      <c r="G99" s="85"/>
      <c r="H99" s="86"/>
      <c r="I99" s="85"/>
    </row>
    <row r="100" spans="1:9" ht="15.75">
      <c r="A100" s="85"/>
      <c r="B100" s="85"/>
      <c r="C100" s="85"/>
      <c r="D100" s="85"/>
      <c r="E100" s="85"/>
      <c r="F100" s="85"/>
      <c r="G100" s="85"/>
      <c r="H100" s="86"/>
      <c r="I100" s="85"/>
    </row>
    <row r="101" spans="1:9" ht="15.75">
      <c r="A101" s="85"/>
      <c r="B101" s="85"/>
      <c r="C101" s="85"/>
      <c r="D101" s="85"/>
      <c r="E101" s="85"/>
      <c r="F101" s="85"/>
      <c r="G101" s="85"/>
      <c r="H101" s="86"/>
      <c r="I101" s="85"/>
    </row>
    <row r="102" spans="1:9" ht="15.75">
      <c r="A102" s="85"/>
      <c r="B102" s="85"/>
      <c r="C102" s="85"/>
      <c r="D102" s="85"/>
      <c r="E102" s="85"/>
      <c r="F102" s="85"/>
      <c r="G102" s="85"/>
      <c r="H102" s="86"/>
      <c r="I102" s="85"/>
    </row>
    <row r="103" spans="1:9" ht="15.75">
      <c r="A103" s="85"/>
      <c r="B103" s="85"/>
      <c r="C103" s="85"/>
      <c r="D103" s="85"/>
      <c r="E103" s="85"/>
      <c r="F103" s="85"/>
      <c r="G103" s="85"/>
      <c r="H103" s="86"/>
      <c r="I103" s="85"/>
    </row>
    <row r="104" spans="1:9" ht="15.75">
      <c r="A104" s="85"/>
      <c r="B104" s="85"/>
      <c r="C104" s="85"/>
      <c r="D104" s="85"/>
      <c r="E104" s="85"/>
      <c r="F104" s="85"/>
      <c r="G104" s="85"/>
      <c r="H104" s="86"/>
      <c r="I104" s="85"/>
    </row>
    <row r="105" spans="1:9" ht="15.75">
      <c r="A105" s="85"/>
      <c r="B105" s="85"/>
      <c r="C105" s="85"/>
      <c r="D105" s="85"/>
      <c r="E105" s="85"/>
      <c r="F105" s="85"/>
      <c r="G105" s="85"/>
      <c r="H105" s="86"/>
      <c r="I105" s="85"/>
    </row>
    <row r="106" spans="1:9" ht="15.75">
      <c r="A106" s="85"/>
      <c r="B106" s="85"/>
      <c r="C106" s="85"/>
      <c r="D106" s="85"/>
      <c r="E106" s="85"/>
      <c r="F106" s="85"/>
      <c r="G106" s="85"/>
      <c r="H106" s="86"/>
      <c r="I106" s="85"/>
    </row>
    <row r="107" spans="1:9" ht="15.75">
      <c r="A107" s="85"/>
      <c r="B107" s="85"/>
      <c r="C107" s="85"/>
      <c r="D107" s="85"/>
      <c r="E107" s="85"/>
      <c r="F107" s="85"/>
      <c r="G107" s="85"/>
      <c r="H107" s="86"/>
      <c r="I107" s="85"/>
    </row>
    <row r="108" spans="1:9" ht="15.75">
      <c r="A108" s="85"/>
      <c r="B108" s="85"/>
      <c r="C108" s="85"/>
      <c r="D108" s="85"/>
      <c r="E108" s="85"/>
      <c r="F108" s="85"/>
      <c r="G108" s="85"/>
      <c r="H108" s="86"/>
      <c r="I108" s="85"/>
    </row>
    <row r="109" spans="1:9" ht="15.75">
      <c r="A109" s="85"/>
      <c r="B109" s="85"/>
      <c r="C109" s="85"/>
      <c r="D109" s="85"/>
      <c r="E109" s="85"/>
      <c r="F109" s="85"/>
      <c r="G109" s="85"/>
      <c r="H109" s="86"/>
      <c r="I109" s="85"/>
    </row>
    <row r="110" spans="1:9" ht="15.75">
      <c r="A110" s="85"/>
      <c r="B110" s="85"/>
      <c r="C110" s="85"/>
      <c r="D110" s="85"/>
      <c r="E110" s="85"/>
      <c r="F110" s="85"/>
      <c r="G110" s="85"/>
      <c r="H110" s="86"/>
      <c r="I110" s="85"/>
    </row>
    <row r="111" spans="1:9" ht="15.75">
      <c r="A111" s="85"/>
      <c r="B111" s="85"/>
      <c r="C111" s="85"/>
      <c r="D111" s="85"/>
      <c r="E111" s="85"/>
      <c r="F111" s="85"/>
      <c r="G111" s="85"/>
      <c r="H111" s="86"/>
      <c r="I111" s="85"/>
    </row>
    <row r="112" spans="1:9" ht="15.75">
      <c r="A112" s="85"/>
      <c r="B112" s="85"/>
      <c r="C112" s="85"/>
      <c r="D112" s="85"/>
      <c r="E112" s="85"/>
      <c r="F112" s="85"/>
      <c r="G112" s="85"/>
      <c r="H112" s="86"/>
      <c r="I112" s="85"/>
    </row>
    <row r="113" spans="1:9" ht="15.75">
      <c r="A113" s="85"/>
      <c r="B113" s="85"/>
      <c r="C113" s="85"/>
      <c r="D113" s="85"/>
      <c r="E113" s="85"/>
      <c r="F113" s="85"/>
      <c r="G113" s="85"/>
      <c r="H113" s="86"/>
      <c r="I113" s="85"/>
    </row>
    <row r="114" spans="1:9" ht="15.75">
      <c r="A114" s="85"/>
      <c r="B114" s="85"/>
      <c r="C114" s="85"/>
      <c r="D114" s="85"/>
      <c r="E114" s="85"/>
      <c r="F114" s="85"/>
      <c r="G114" s="85"/>
      <c r="H114" s="86"/>
      <c r="I114" s="85"/>
    </row>
    <row r="115" spans="1:9" ht="15.75">
      <c r="A115" s="85"/>
      <c r="B115" s="85"/>
      <c r="C115" s="85"/>
      <c r="D115" s="85"/>
      <c r="E115" s="85"/>
      <c r="F115" s="85"/>
      <c r="G115" s="85"/>
      <c r="H115" s="86"/>
      <c r="I115" s="85"/>
    </row>
    <row r="116" spans="1:9" ht="15.75">
      <c r="A116" s="85"/>
      <c r="B116" s="85"/>
      <c r="C116" s="85"/>
      <c r="D116" s="85"/>
      <c r="E116" s="85"/>
      <c r="F116" s="85"/>
      <c r="G116" s="85"/>
      <c r="H116" s="86"/>
      <c r="I116" s="85"/>
    </row>
    <row r="117" spans="1:9" ht="15.75">
      <c r="A117" s="85"/>
      <c r="B117" s="85"/>
      <c r="C117" s="85"/>
      <c r="D117" s="85"/>
      <c r="E117" s="85"/>
      <c r="F117" s="85"/>
      <c r="G117" s="85"/>
      <c r="H117" s="86"/>
      <c r="I117" s="85"/>
    </row>
    <row r="118" spans="1:9" ht="15.75">
      <c r="A118" s="85"/>
      <c r="B118" s="85"/>
      <c r="C118" s="85"/>
      <c r="D118" s="85"/>
      <c r="E118" s="85"/>
      <c r="F118" s="85"/>
      <c r="G118" s="85"/>
      <c r="H118" s="86"/>
      <c r="I118" s="85"/>
    </row>
    <row r="119" spans="1:9" ht="15.75">
      <c r="A119" s="85"/>
      <c r="B119" s="85"/>
      <c r="C119" s="85"/>
      <c r="D119" s="85"/>
      <c r="E119" s="85"/>
      <c r="F119" s="85"/>
      <c r="G119" s="85"/>
      <c r="H119" s="86"/>
      <c r="I119" s="85"/>
    </row>
    <row r="120" spans="1:9" ht="15.75">
      <c r="A120" s="85"/>
      <c r="B120" s="85"/>
      <c r="C120" s="85"/>
      <c r="D120" s="85"/>
      <c r="E120" s="85"/>
      <c r="F120" s="85"/>
      <c r="G120" s="85"/>
      <c r="H120" s="86"/>
      <c r="I120" s="85"/>
    </row>
    <row r="121" spans="1:9" ht="15.75">
      <c r="A121" s="85"/>
      <c r="B121" s="85"/>
      <c r="C121" s="85"/>
      <c r="D121" s="85"/>
      <c r="E121" s="85"/>
      <c r="F121" s="85"/>
      <c r="G121" s="85"/>
      <c r="H121" s="86"/>
      <c r="I121" s="85"/>
    </row>
    <row r="122" spans="1:9" ht="15.75">
      <c r="A122" s="85"/>
      <c r="B122" s="85"/>
      <c r="C122" s="85"/>
      <c r="D122" s="85"/>
      <c r="E122" s="85"/>
      <c r="F122" s="85"/>
      <c r="G122" s="85"/>
      <c r="H122" s="86"/>
      <c r="I122" s="85"/>
    </row>
    <row r="123" spans="1:9" ht="15.75">
      <c r="A123" s="85"/>
      <c r="B123" s="85"/>
      <c r="C123" s="85"/>
      <c r="D123" s="85"/>
      <c r="E123" s="85"/>
      <c r="F123" s="85"/>
      <c r="G123" s="85"/>
      <c r="H123" s="86"/>
      <c r="I123" s="85"/>
    </row>
    <row r="124" spans="1:9" ht="15.75">
      <c r="A124" s="85"/>
      <c r="B124" s="85"/>
      <c r="C124" s="85"/>
      <c r="D124" s="85"/>
      <c r="E124" s="85"/>
      <c r="F124" s="85"/>
      <c r="G124" s="85"/>
      <c r="H124" s="86"/>
      <c r="I124" s="85"/>
    </row>
    <row r="125" spans="1:9" ht="15.75">
      <c r="A125" s="85"/>
      <c r="B125" s="85"/>
      <c r="C125" s="85"/>
      <c r="D125" s="85"/>
      <c r="E125" s="85"/>
      <c r="F125" s="85"/>
      <c r="G125" s="85"/>
      <c r="H125" s="86"/>
      <c r="I125" s="85"/>
    </row>
    <row r="126" spans="1:9" ht="15.75">
      <c r="A126" s="85"/>
      <c r="B126" s="85"/>
      <c r="C126" s="85"/>
      <c r="D126" s="85"/>
      <c r="E126" s="85"/>
      <c r="F126" s="85"/>
      <c r="G126" s="85"/>
      <c r="H126" s="86"/>
      <c r="I126" s="85"/>
    </row>
    <row r="127" spans="1:9" ht="15.75">
      <c r="A127" s="85"/>
      <c r="B127" s="85"/>
      <c r="C127" s="85"/>
      <c r="D127" s="85"/>
      <c r="E127" s="85"/>
      <c r="F127" s="85"/>
      <c r="G127" s="85"/>
      <c r="H127" s="86"/>
      <c r="I127" s="85"/>
    </row>
    <row r="128" spans="1:9" ht="15.75">
      <c r="A128" s="85"/>
      <c r="B128" s="85"/>
      <c r="C128" s="85"/>
      <c r="D128" s="85"/>
      <c r="E128" s="85"/>
      <c r="F128" s="85"/>
      <c r="G128" s="85"/>
      <c r="H128" s="86"/>
      <c r="I128" s="85"/>
    </row>
    <row r="129" spans="1:9" ht="15.75">
      <c r="A129" s="85"/>
      <c r="B129" s="85"/>
      <c r="C129" s="85"/>
      <c r="D129" s="85"/>
      <c r="E129" s="85"/>
      <c r="F129" s="85"/>
      <c r="G129" s="85"/>
      <c r="H129" s="86"/>
      <c r="I129" s="85"/>
    </row>
    <row r="130" spans="1:9" ht="15.75">
      <c r="A130" s="85"/>
      <c r="B130" s="85"/>
      <c r="C130" s="85"/>
      <c r="D130" s="85"/>
      <c r="E130" s="85"/>
      <c r="F130" s="85"/>
      <c r="G130" s="85"/>
      <c r="H130" s="86"/>
      <c r="I130" s="85"/>
    </row>
    <row r="131" spans="1:9" ht="15.75">
      <c r="A131" s="85"/>
      <c r="B131" s="85"/>
      <c r="C131" s="85"/>
      <c r="D131" s="85"/>
      <c r="E131" s="85"/>
      <c r="F131" s="85"/>
      <c r="G131" s="85"/>
      <c r="H131" s="86"/>
      <c r="I131" s="85"/>
    </row>
    <row r="132" spans="1:9" ht="15.75">
      <c r="A132" s="85"/>
      <c r="B132" s="85"/>
      <c r="C132" s="85"/>
      <c r="D132" s="85"/>
      <c r="E132" s="85"/>
      <c r="F132" s="85"/>
      <c r="G132" s="85"/>
      <c r="H132" s="86"/>
      <c r="I132" s="85"/>
    </row>
    <row r="133" spans="1:9" ht="15.75">
      <c r="A133" s="85"/>
      <c r="B133" s="85"/>
      <c r="C133" s="85"/>
      <c r="D133" s="85"/>
      <c r="E133" s="85"/>
      <c r="F133" s="85"/>
      <c r="G133" s="85"/>
      <c r="H133" s="86"/>
      <c r="I133" s="85"/>
    </row>
    <row r="134" spans="1:9" ht="15.75">
      <c r="A134" s="85"/>
      <c r="B134" s="85"/>
      <c r="C134" s="85"/>
      <c r="D134" s="85"/>
      <c r="E134" s="85"/>
      <c r="F134" s="85"/>
      <c r="G134" s="85"/>
      <c r="H134" s="86"/>
      <c r="I134" s="85"/>
    </row>
    <row r="135" spans="1:9" ht="15.75">
      <c r="A135" s="85"/>
      <c r="B135" s="85"/>
      <c r="C135" s="85"/>
      <c r="D135" s="85"/>
      <c r="E135" s="85"/>
      <c r="F135" s="85"/>
      <c r="G135" s="85"/>
      <c r="H135" s="86"/>
      <c r="I135" s="85"/>
    </row>
    <row r="136" spans="1:9" ht="15.75">
      <c r="A136" s="85"/>
      <c r="B136" s="85"/>
      <c r="C136" s="85"/>
      <c r="D136" s="85"/>
      <c r="E136" s="85"/>
      <c r="F136" s="85"/>
      <c r="G136" s="85"/>
      <c r="H136" s="86"/>
      <c r="I136" s="85"/>
    </row>
    <row r="137" spans="1:9" ht="15.75">
      <c r="A137" s="85"/>
      <c r="B137" s="85"/>
      <c r="C137" s="85"/>
      <c r="D137" s="85"/>
      <c r="E137" s="85"/>
      <c r="F137" s="85"/>
      <c r="G137" s="85"/>
      <c r="H137" s="86"/>
      <c r="I137" s="85"/>
    </row>
    <row r="138" spans="1:9" ht="15.75">
      <c r="A138" s="85"/>
      <c r="B138" s="85"/>
      <c r="C138" s="85"/>
      <c r="D138" s="85"/>
      <c r="E138" s="85"/>
      <c r="F138" s="85"/>
      <c r="G138" s="85"/>
      <c r="H138" s="86"/>
      <c r="I138" s="85"/>
    </row>
    <row r="139" spans="1:9" ht="15.75">
      <c r="A139" s="85"/>
      <c r="B139" s="85"/>
      <c r="C139" s="85"/>
      <c r="D139" s="85"/>
      <c r="E139" s="85"/>
      <c r="F139" s="85"/>
      <c r="G139" s="85"/>
      <c r="H139" s="86"/>
      <c r="I139" s="85"/>
    </row>
    <row r="140" spans="1:9" ht="15.75">
      <c r="A140" s="85"/>
      <c r="B140" s="85"/>
      <c r="C140" s="85"/>
      <c r="D140" s="85"/>
      <c r="E140" s="85"/>
      <c r="F140" s="85"/>
      <c r="G140" s="85"/>
      <c r="H140" s="86"/>
      <c r="I140" s="85"/>
    </row>
    <row r="141" spans="1:9" ht="15.75">
      <c r="A141" s="85"/>
      <c r="B141" s="85"/>
      <c r="C141" s="85"/>
      <c r="D141" s="85"/>
      <c r="E141" s="85"/>
      <c r="F141" s="85"/>
      <c r="G141" s="85"/>
      <c r="H141" s="86"/>
      <c r="I141" s="85"/>
    </row>
    <row r="142" spans="1:9" ht="15.75">
      <c r="A142" s="85"/>
      <c r="B142" s="85"/>
      <c r="C142" s="85"/>
      <c r="D142" s="85"/>
      <c r="E142" s="85"/>
      <c r="F142" s="85"/>
      <c r="G142" s="85"/>
      <c r="H142" s="86"/>
      <c r="I142" s="85"/>
    </row>
    <row r="143" spans="1:9" ht="15.75">
      <c r="A143" s="85"/>
      <c r="B143" s="85"/>
      <c r="C143" s="85"/>
      <c r="D143" s="85"/>
      <c r="E143" s="85"/>
      <c r="F143" s="85"/>
      <c r="G143" s="85"/>
      <c r="H143" s="86"/>
      <c r="I143" s="85"/>
    </row>
    <row r="144" spans="1:9" ht="15.75">
      <c r="A144" s="85"/>
      <c r="B144" s="85"/>
      <c r="C144" s="85"/>
      <c r="D144" s="85"/>
      <c r="E144" s="85"/>
      <c r="F144" s="85"/>
      <c r="G144" s="85"/>
      <c r="H144" s="86"/>
      <c r="I144" s="85"/>
    </row>
    <row r="145" spans="1:9" ht="15.75">
      <c r="A145" s="85"/>
      <c r="B145" s="85"/>
      <c r="C145" s="85"/>
      <c r="D145" s="85"/>
      <c r="E145" s="85"/>
      <c r="F145" s="85"/>
      <c r="G145" s="85"/>
      <c r="H145" s="86"/>
      <c r="I145" s="85"/>
    </row>
    <row r="146" spans="1:9" ht="15.75">
      <c r="A146" s="85"/>
      <c r="B146" s="85"/>
      <c r="C146" s="85"/>
      <c r="D146" s="85"/>
      <c r="E146" s="85"/>
      <c r="F146" s="85"/>
      <c r="G146" s="85"/>
      <c r="H146" s="86"/>
      <c r="I146" s="85"/>
    </row>
    <row r="147" spans="1:9" ht="15.75">
      <c r="A147" s="85"/>
      <c r="B147" s="85"/>
      <c r="C147" s="85"/>
      <c r="D147" s="85"/>
      <c r="E147" s="85"/>
      <c r="F147" s="85"/>
      <c r="G147" s="85"/>
      <c r="H147" s="86"/>
      <c r="I147" s="85"/>
    </row>
    <row r="148" spans="1:9" ht="15.75">
      <c r="A148" s="85"/>
      <c r="B148" s="85"/>
      <c r="C148" s="85"/>
      <c r="D148" s="85"/>
      <c r="E148" s="85"/>
      <c r="F148" s="85"/>
      <c r="G148" s="85"/>
      <c r="H148" s="86"/>
      <c r="I148" s="85"/>
    </row>
    <row r="149" spans="1:9" ht="15.75">
      <c r="A149" s="85"/>
      <c r="B149" s="85"/>
      <c r="C149" s="85"/>
      <c r="D149" s="85"/>
      <c r="E149" s="85"/>
      <c r="F149" s="85"/>
      <c r="G149" s="85"/>
      <c r="H149" s="86"/>
      <c r="I149" s="85"/>
    </row>
    <row r="150" spans="1:9" ht="15.75">
      <c r="A150" s="85"/>
      <c r="B150" s="85"/>
      <c r="C150" s="85"/>
      <c r="D150" s="85"/>
      <c r="E150" s="85"/>
      <c r="F150" s="85"/>
      <c r="G150" s="85"/>
      <c r="H150" s="86"/>
      <c r="I150" s="85"/>
    </row>
    <row r="151" spans="1:9" ht="15.75">
      <c r="A151" s="85"/>
      <c r="B151" s="85"/>
      <c r="C151" s="85"/>
      <c r="D151" s="85"/>
      <c r="E151" s="85"/>
      <c r="F151" s="85"/>
      <c r="G151" s="85"/>
      <c r="H151" s="86"/>
      <c r="I151" s="85"/>
    </row>
    <row r="152" spans="1:9" ht="15.75">
      <c r="A152" s="85"/>
      <c r="B152" s="85"/>
      <c r="C152" s="85"/>
      <c r="D152" s="85"/>
      <c r="E152" s="85"/>
      <c r="F152" s="85"/>
      <c r="G152" s="85"/>
      <c r="H152" s="86"/>
      <c r="I152" s="85"/>
    </row>
    <row r="153" spans="1:9" ht="15.75">
      <c r="A153" s="85"/>
      <c r="B153" s="85"/>
      <c r="C153" s="85"/>
      <c r="D153" s="85"/>
      <c r="E153" s="85"/>
      <c r="F153" s="85"/>
      <c r="G153" s="85"/>
      <c r="H153" s="86"/>
      <c r="I153" s="85"/>
    </row>
    <row r="154" spans="1:9" ht="15.75">
      <c r="A154" s="85"/>
      <c r="B154" s="85"/>
      <c r="C154" s="85"/>
      <c r="D154" s="85"/>
      <c r="E154" s="85"/>
      <c r="F154" s="85"/>
      <c r="G154" s="85"/>
      <c r="H154" s="86"/>
      <c r="I154" s="85"/>
    </row>
    <row r="155" spans="1:9" ht="15.75">
      <c r="A155" s="85"/>
      <c r="B155" s="85"/>
      <c r="C155" s="85"/>
      <c r="D155" s="85"/>
      <c r="E155" s="85"/>
      <c r="F155" s="85"/>
      <c r="G155" s="85"/>
      <c r="H155" s="86"/>
      <c r="I155" s="85"/>
    </row>
    <row r="156" spans="1:9" ht="15.75">
      <c r="A156" s="85"/>
      <c r="B156" s="85"/>
      <c r="C156" s="85"/>
      <c r="D156" s="85"/>
      <c r="E156" s="85"/>
      <c r="F156" s="85"/>
      <c r="G156" s="85"/>
      <c r="H156" s="86"/>
      <c r="I156" s="85"/>
    </row>
    <row r="157" spans="1:9" ht="15.75">
      <c r="A157" s="85"/>
      <c r="B157" s="85"/>
      <c r="C157" s="85"/>
      <c r="D157" s="85"/>
      <c r="E157" s="85"/>
      <c r="F157" s="85"/>
      <c r="G157" s="85"/>
      <c r="H157" s="86"/>
      <c r="I157" s="85"/>
    </row>
    <row r="158" spans="1:9" ht="15.75">
      <c r="A158" s="85"/>
      <c r="B158" s="85"/>
      <c r="C158" s="85"/>
      <c r="D158" s="85"/>
      <c r="E158" s="85"/>
      <c r="F158" s="85"/>
      <c r="G158" s="85"/>
      <c r="H158" s="86"/>
      <c r="I158" s="85"/>
    </row>
    <row r="159" spans="1:9" ht="15.75">
      <c r="A159" s="85"/>
      <c r="B159" s="85"/>
      <c r="C159" s="85"/>
      <c r="D159" s="85"/>
      <c r="E159" s="85"/>
      <c r="F159" s="85"/>
      <c r="G159" s="85"/>
      <c r="H159" s="86"/>
      <c r="I159" s="85"/>
    </row>
    <row r="160" spans="1:9" ht="15.75">
      <c r="A160" s="85"/>
      <c r="B160" s="85"/>
      <c r="C160" s="85"/>
      <c r="D160" s="85"/>
      <c r="E160" s="85"/>
      <c r="F160" s="85"/>
      <c r="G160" s="85"/>
      <c r="H160" s="86"/>
      <c r="I160" s="85"/>
    </row>
    <row r="161" spans="1:9" ht="15.75">
      <c r="A161" s="85"/>
      <c r="B161" s="85"/>
      <c r="C161" s="85"/>
      <c r="D161" s="85"/>
      <c r="E161" s="85"/>
      <c r="F161" s="85"/>
      <c r="G161" s="85"/>
      <c r="H161" s="86"/>
      <c r="I161" s="85"/>
    </row>
    <row r="162" spans="1:9" ht="15.75">
      <c r="A162" s="85"/>
      <c r="B162" s="85"/>
      <c r="C162" s="85"/>
      <c r="D162" s="85"/>
      <c r="E162" s="85"/>
      <c r="F162" s="85"/>
      <c r="G162" s="85"/>
      <c r="H162" s="86"/>
      <c r="I162" s="85"/>
    </row>
    <row r="163" spans="1:9" ht="15.75">
      <c r="A163" s="85"/>
      <c r="B163" s="85"/>
      <c r="C163" s="85"/>
      <c r="D163" s="85"/>
      <c r="E163" s="85"/>
      <c r="F163" s="85"/>
      <c r="G163" s="85"/>
      <c r="H163" s="86"/>
      <c r="I163" s="85"/>
    </row>
    <row r="164" spans="1:9" ht="15.75">
      <c r="A164" s="85"/>
      <c r="B164" s="85"/>
      <c r="C164" s="85"/>
      <c r="D164" s="85"/>
      <c r="E164" s="85"/>
      <c r="F164" s="85"/>
      <c r="G164" s="85"/>
      <c r="H164" s="86"/>
      <c r="I164" s="85"/>
    </row>
    <row r="165" spans="1:9" ht="15.75">
      <c r="A165" s="85"/>
      <c r="B165" s="85"/>
      <c r="C165" s="85"/>
      <c r="D165" s="85"/>
      <c r="E165" s="85"/>
      <c r="F165" s="85"/>
      <c r="G165" s="85"/>
      <c r="H165" s="86"/>
      <c r="I165" s="85"/>
    </row>
    <row r="166" spans="1:9" ht="15.75">
      <c r="A166" s="85"/>
      <c r="B166" s="85"/>
      <c r="C166" s="85"/>
      <c r="D166" s="85"/>
      <c r="E166" s="85"/>
      <c r="F166" s="85"/>
      <c r="G166" s="85"/>
      <c r="H166" s="86"/>
      <c r="I166" s="85"/>
    </row>
    <row r="167" spans="1:9" ht="15.75">
      <c r="A167" s="85"/>
      <c r="B167" s="85"/>
      <c r="C167" s="85"/>
      <c r="D167" s="85"/>
      <c r="E167" s="85"/>
      <c r="F167" s="85"/>
      <c r="G167" s="85"/>
      <c r="H167" s="86"/>
      <c r="I167" s="85"/>
    </row>
    <row r="168" spans="1:9" ht="15.75">
      <c r="A168" s="85"/>
      <c r="B168" s="85"/>
      <c r="C168" s="85"/>
      <c r="D168" s="85"/>
      <c r="E168" s="85"/>
      <c r="F168" s="85"/>
      <c r="G168" s="85"/>
      <c r="H168" s="86"/>
      <c r="I168" s="85"/>
    </row>
    <row r="169" spans="1:9" ht="15.75">
      <c r="A169" s="85"/>
      <c r="B169" s="85"/>
      <c r="C169" s="85"/>
      <c r="D169" s="85"/>
      <c r="E169" s="85"/>
      <c r="F169" s="85"/>
      <c r="G169" s="85"/>
      <c r="H169" s="86"/>
      <c r="I169" s="85"/>
    </row>
    <row r="170" spans="1:9" ht="15.75">
      <c r="A170" s="85"/>
      <c r="B170" s="85"/>
      <c r="C170" s="85"/>
      <c r="D170" s="85"/>
      <c r="E170" s="85"/>
      <c r="F170" s="85"/>
      <c r="G170" s="85"/>
      <c r="H170" s="86"/>
      <c r="I170" s="85"/>
    </row>
    <row r="171" spans="1:9" ht="15.75">
      <c r="A171" s="85"/>
      <c r="B171" s="85"/>
      <c r="C171" s="85"/>
      <c r="D171" s="85"/>
      <c r="E171" s="85"/>
      <c r="F171" s="85"/>
      <c r="G171" s="85"/>
      <c r="H171" s="86"/>
      <c r="I171" s="85"/>
    </row>
    <row r="172" spans="1:9" ht="15.75">
      <c r="A172" s="85"/>
      <c r="B172" s="85"/>
      <c r="C172" s="85"/>
      <c r="D172" s="85"/>
      <c r="E172" s="85"/>
      <c r="F172" s="85"/>
      <c r="G172" s="85"/>
      <c r="H172" s="86"/>
      <c r="I172" s="85"/>
    </row>
    <row r="173" spans="1:9" ht="15.75">
      <c r="A173" s="85"/>
      <c r="B173" s="85"/>
      <c r="C173" s="85"/>
      <c r="D173" s="85"/>
      <c r="E173" s="85"/>
      <c r="F173" s="85"/>
      <c r="G173" s="85"/>
      <c r="H173" s="86"/>
      <c r="I173" s="85"/>
    </row>
    <row r="174" spans="1:9" ht="15.75">
      <c r="A174" s="85"/>
      <c r="B174" s="85"/>
      <c r="C174" s="85"/>
      <c r="D174" s="85"/>
      <c r="E174" s="85"/>
      <c r="F174" s="85"/>
      <c r="G174" s="85"/>
      <c r="H174" s="86"/>
      <c r="I174" s="85"/>
    </row>
    <row r="175" spans="1:9" ht="15.75">
      <c r="A175" s="85"/>
      <c r="B175" s="85"/>
      <c r="C175" s="85"/>
      <c r="D175" s="85"/>
      <c r="E175" s="85"/>
      <c r="F175" s="85"/>
      <c r="G175" s="85"/>
      <c r="H175" s="86"/>
      <c r="I175" s="85"/>
    </row>
    <row r="176" spans="1:9" ht="15.75">
      <c r="A176" s="85"/>
      <c r="B176" s="85"/>
      <c r="C176" s="85"/>
      <c r="D176" s="85"/>
      <c r="E176" s="85"/>
      <c r="F176" s="85"/>
      <c r="G176" s="85"/>
      <c r="H176" s="86"/>
      <c r="I176" s="85"/>
    </row>
    <row r="177" spans="1:9" ht="15.75">
      <c r="A177" s="85"/>
      <c r="B177" s="85"/>
      <c r="C177" s="85"/>
      <c r="D177" s="85"/>
      <c r="E177" s="85"/>
      <c r="F177" s="85"/>
      <c r="G177" s="85"/>
      <c r="H177" s="86"/>
      <c r="I177" s="85"/>
    </row>
    <row r="178" spans="1:9" ht="15.75">
      <c r="A178" s="85"/>
      <c r="B178" s="85"/>
      <c r="C178" s="85"/>
      <c r="D178" s="85"/>
      <c r="E178" s="85"/>
      <c r="F178" s="85"/>
      <c r="G178" s="85"/>
      <c r="H178" s="86"/>
      <c r="I178" s="85"/>
    </row>
    <row r="179" spans="1:9" ht="15.75">
      <c r="A179" s="85"/>
      <c r="B179" s="85"/>
      <c r="C179" s="85"/>
      <c r="D179" s="85"/>
      <c r="E179" s="85"/>
      <c r="F179" s="85"/>
      <c r="G179" s="85"/>
      <c r="H179" s="86"/>
      <c r="I179" s="85"/>
    </row>
    <row r="180" spans="1:9" ht="15.75">
      <c r="A180" s="85"/>
      <c r="B180" s="85"/>
      <c r="C180" s="85"/>
      <c r="D180" s="85"/>
      <c r="E180" s="85"/>
      <c r="F180" s="85"/>
      <c r="G180" s="85"/>
      <c r="H180" s="86"/>
      <c r="I180" s="85"/>
    </row>
    <row r="181" spans="1:9" ht="15.75">
      <c r="A181" s="85"/>
      <c r="B181" s="85"/>
      <c r="C181" s="85"/>
      <c r="D181" s="85"/>
      <c r="E181" s="85"/>
      <c r="F181" s="85"/>
      <c r="G181" s="85"/>
      <c r="H181" s="86"/>
      <c r="I181" s="85"/>
    </row>
    <row r="182" spans="1:9" ht="15.75">
      <c r="A182" s="85"/>
      <c r="B182" s="85"/>
      <c r="C182" s="85"/>
      <c r="D182" s="85"/>
      <c r="E182" s="85"/>
      <c r="F182" s="85"/>
      <c r="G182" s="85"/>
      <c r="H182" s="86"/>
      <c r="I182" s="85"/>
    </row>
    <row r="183" spans="1:9" ht="15.75">
      <c r="A183" s="85"/>
      <c r="B183" s="85"/>
      <c r="C183" s="85"/>
      <c r="D183" s="85"/>
      <c r="E183" s="85"/>
      <c r="F183" s="85"/>
      <c r="G183" s="85"/>
      <c r="H183" s="86"/>
      <c r="I183" s="85"/>
    </row>
    <row r="184" spans="1:9" ht="15.75">
      <c r="A184" s="85"/>
      <c r="B184" s="85"/>
      <c r="C184" s="85"/>
      <c r="D184" s="85"/>
      <c r="E184" s="85"/>
      <c r="F184" s="85"/>
      <c r="G184" s="85"/>
      <c r="H184" s="86"/>
      <c r="I184" s="85"/>
    </row>
    <row r="185" spans="1:9" ht="15.75">
      <c r="A185" s="85"/>
      <c r="B185" s="85"/>
      <c r="C185" s="85"/>
      <c r="D185" s="85"/>
      <c r="E185" s="85"/>
      <c r="F185" s="85"/>
      <c r="G185" s="85"/>
      <c r="H185" s="86"/>
      <c r="I185" s="85"/>
    </row>
    <row r="186" spans="1:9" ht="15.75">
      <c r="A186" s="85"/>
      <c r="B186" s="85"/>
      <c r="C186" s="85"/>
      <c r="D186" s="85"/>
      <c r="E186" s="85"/>
      <c r="F186" s="85"/>
      <c r="G186" s="85"/>
      <c r="H186" s="86"/>
      <c r="I186" s="85"/>
    </row>
    <row r="187" spans="1:9" ht="15.75">
      <c r="A187" s="85"/>
      <c r="B187" s="85"/>
      <c r="C187" s="85"/>
      <c r="D187" s="85"/>
      <c r="E187" s="85"/>
      <c r="F187" s="85"/>
      <c r="G187" s="85"/>
      <c r="H187" s="86"/>
      <c r="I187" s="85"/>
    </row>
    <row r="188" spans="1:9" ht="15.75">
      <c r="A188" s="85"/>
      <c r="B188" s="85"/>
      <c r="C188" s="85"/>
      <c r="D188" s="85"/>
      <c r="E188" s="85"/>
      <c r="F188" s="85"/>
      <c r="G188" s="85"/>
      <c r="H188" s="86"/>
      <c r="I188" s="85"/>
    </row>
    <row r="189" spans="1:9" ht="15.75">
      <c r="A189" s="85"/>
      <c r="B189" s="85"/>
      <c r="C189" s="85"/>
      <c r="D189" s="85"/>
      <c r="E189" s="85"/>
      <c r="F189" s="85"/>
      <c r="G189" s="85"/>
      <c r="H189" s="86"/>
      <c r="I189" s="85"/>
    </row>
    <row r="190" spans="1:9" ht="15.75">
      <c r="A190" s="85"/>
      <c r="B190" s="85"/>
      <c r="C190" s="85"/>
      <c r="D190" s="85"/>
      <c r="E190" s="85"/>
      <c r="F190" s="85"/>
      <c r="G190" s="85"/>
      <c r="H190" s="86"/>
      <c r="I190" s="85"/>
    </row>
    <row r="191" spans="1:9" ht="15.75">
      <c r="A191" s="85"/>
      <c r="B191" s="85"/>
      <c r="C191" s="85"/>
      <c r="D191" s="85"/>
      <c r="E191" s="85"/>
      <c r="F191" s="85"/>
      <c r="G191" s="85"/>
      <c r="H191" s="86"/>
      <c r="I191" s="85"/>
    </row>
    <row r="192" spans="1:9" ht="15.75">
      <c r="A192" s="85"/>
      <c r="B192" s="85"/>
      <c r="C192" s="85"/>
      <c r="D192" s="85"/>
      <c r="E192" s="85"/>
      <c r="F192" s="85"/>
      <c r="G192" s="85"/>
      <c r="H192" s="86"/>
      <c r="I192" s="85"/>
    </row>
    <row r="193" spans="1:9" ht="15.75">
      <c r="A193" s="85"/>
      <c r="B193" s="85"/>
      <c r="C193" s="85"/>
      <c r="D193" s="85"/>
      <c r="E193" s="85"/>
      <c r="F193" s="85"/>
      <c r="G193" s="85"/>
      <c r="H193" s="86"/>
      <c r="I193" s="85"/>
    </row>
    <row r="194" spans="1:9" ht="15.75">
      <c r="A194" s="85"/>
      <c r="B194" s="85"/>
      <c r="C194" s="85"/>
      <c r="D194" s="85"/>
      <c r="E194" s="85"/>
      <c r="F194" s="85"/>
      <c r="G194" s="85"/>
      <c r="H194" s="86"/>
      <c r="I194" s="85"/>
    </row>
    <row r="195" spans="1:9" ht="15.75">
      <c r="A195" s="85"/>
      <c r="B195" s="85"/>
      <c r="C195" s="85"/>
      <c r="D195" s="85"/>
      <c r="E195" s="85"/>
      <c r="F195" s="85"/>
      <c r="G195" s="85"/>
      <c r="H195" s="86"/>
      <c r="I195" s="85"/>
    </row>
    <row r="196" spans="1:9" ht="15.75">
      <c r="A196" s="85"/>
      <c r="B196" s="85"/>
      <c r="C196" s="85"/>
      <c r="D196" s="85"/>
      <c r="E196" s="85"/>
      <c r="F196" s="85"/>
      <c r="G196" s="85"/>
      <c r="H196" s="86"/>
      <c r="I196" s="85"/>
    </row>
    <row r="197" spans="1:9" ht="15.75">
      <c r="A197" s="85"/>
      <c r="B197" s="85"/>
      <c r="C197" s="85"/>
      <c r="D197" s="85"/>
      <c r="E197" s="85"/>
      <c r="F197" s="85"/>
      <c r="G197" s="85"/>
      <c r="H197" s="86"/>
      <c r="I197" s="85"/>
    </row>
    <row r="198" spans="1:9" ht="15.75">
      <c r="A198" s="85"/>
      <c r="B198" s="85"/>
      <c r="C198" s="85"/>
      <c r="D198" s="85"/>
      <c r="E198" s="85"/>
      <c r="F198" s="85"/>
      <c r="G198" s="85"/>
      <c r="H198" s="86"/>
      <c r="I198" s="85"/>
    </row>
    <row r="199" spans="1:9" ht="15.75">
      <c r="A199" s="85"/>
      <c r="B199" s="85"/>
      <c r="C199" s="85"/>
      <c r="D199" s="85"/>
      <c r="E199" s="85"/>
      <c r="F199" s="85"/>
      <c r="G199" s="85"/>
      <c r="H199" s="86"/>
      <c r="I199" s="85"/>
    </row>
    <row r="200" spans="1:9" ht="15.75">
      <c r="A200" s="85"/>
      <c r="B200" s="85"/>
      <c r="C200" s="85"/>
      <c r="D200" s="85"/>
      <c r="E200" s="85"/>
      <c r="F200" s="85"/>
      <c r="G200" s="85"/>
      <c r="H200" s="86"/>
      <c r="I200" s="85"/>
    </row>
    <row r="201" spans="1:9" ht="15.75">
      <c r="A201" s="85"/>
      <c r="B201" s="85"/>
      <c r="C201" s="85"/>
      <c r="D201" s="85"/>
      <c r="E201" s="85"/>
      <c r="F201" s="85"/>
      <c r="G201" s="85"/>
      <c r="H201" s="86"/>
      <c r="I201" s="85"/>
    </row>
    <row r="202" spans="1:9" ht="15.75">
      <c r="A202" s="85"/>
      <c r="B202" s="85"/>
      <c r="C202" s="85"/>
      <c r="D202" s="85"/>
      <c r="E202" s="85"/>
      <c r="F202" s="85"/>
      <c r="G202" s="85"/>
      <c r="H202" s="86"/>
      <c r="I202" s="85"/>
    </row>
    <row r="203" spans="1:9" ht="15.75">
      <c r="A203" s="85"/>
      <c r="B203" s="85"/>
      <c r="C203" s="85"/>
      <c r="D203" s="85"/>
      <c r="E203" s="85"/>
      <c r="F203" s="85"/>
      <c r="G203" s="85"/>
      <c r="H203" s="86"/>
      <c r="I203" s="85"/>
    </row>
    <row r="204" spans="1:9" ht="15.75">
      <c r="A204" s="85"/>
      <c r="B204" s="85"/>
      <c r="C204" s="85"/>
      <c r="D204" s="85"/>
      <c r="E204" s="85"/>
      <c r="F204" s="85"/>
      <c r="G204" s="85"/>
      <c r="H204" s="86"/>
      <c r="I204" s="85"/>
    </row>
    <row r="205" spans="1:9" ht="15.75">
      <c r="A205" s="85"/>
      <c r="B205" s="85"/>
      <c r="C205" s="85"/>
      <c r="D205" s="85"/>
      <c r="E205" s="85"/>
      <c r="F205" s="85"/>
      <c r="G205" s="85"/>
      <c r="H205" s="86"/>
      <c r="I205" s="85"/>
    </row>
    <row r="206" spans="1:9" ht="15.75">
      <c r="A206" s="85"/>
      <c r="B206" s="85"/>
      <c r="C206" s="85"/>
      <c r="D206" s="85"/>
      <c r="E206" s="85"/>
      <c r="F206" s="85"/>
      <c r="G206" s="85"/>
      <c r="H206" s="86"/>
      <c r="I206" s="85"/>
    </row>
    <row r="207" spans="1:9" ht="15.75">
      <c r="A207" s="85"/>
      <c r="B207" s="85"/>
      <c r="C207" s="85"/>
      <c r="D207" s="85"/>
      <c r="E207" s="85"/>
      <c r="F207" s="85"/>
      <c r="G207" s="85"/>
      <c r="H207" s="86"/>
      <c r="I207" s="85"/>
    </row>
    <row r="208" spans="1:9" ht="15.75">
      <c r="A208" s="85"/>
      <c r="B208" s="85"/>
      <c r="C208" s="85"/>
      <c r="D208" s="85"/>
      <c r="E208" s="85"/>
      <c r="F208" s="85"/>
      <c r="G208" s="85"/>
      <c r="H208" s="86"/>
      <c r="I208" s="85"/>
    </row>
    <row r="209" spans="1:9" ht="15.75">
      <c r="A209" s="85"/>
      <c r="B209" s="85"/>
      <c r="C209" s="85"/>
      <c r="D209" s="85"/>
      <c r="E209" s="85"/>
      <c r="F209" s="85"/>
      <c r="G209" s="85"/>
      <c r="H209" s="86"/>
      <c r="I209" s="85"/>
    </row>
    <row r="210" spans="1:9" ht="15.75">
      <c r="A210" s="85"/>
      <c r="B210" s="85"/>
      <c r="C210" s="85"/>
      <c r="D210" s="85"/>
      <c r="E210" s="85"/>
      <c r="F210" s="85"/>
      <c r="G210" s="85"/>
      <c r="H210" s="86"/>
      <c r="I210" s="85"/>
    </row>
    <row r="211" spans="1:9" ht="15.75">
      <c r="A211" s="85"/>
      <c r="B211" s="85"/>
      <c r="C211" s="85"/>
      <c r="D211" s="85"/>
      <c r="E211" s="85"/>
      <c r="F211" s="85"/>
      <c r="G211" s="85"/>
      <c r="H211" s="86"/>
      <c r="I211" s="85"/>
    </row>
    <row r="212" spans="1:9" ht="15.75">
      <c r="A212" s="85"/>
      <c r="B212" s="85"/>
      <c r="C212" s="85"/>
      <c r="D212" s="85"/>
      <c r="E212" s="85"/>
      <c r="F212" s="85"/>
      <c r="G212" s="85"/>
      <c r="H212" s="86"/>
      <c r="I212" s="85"/>
    </row>
    <row r="213" spans="1:9" ht="15.75">
      <c r="A213" s="85"/>
      <c r="B213" s="85"/>
      <c r="C213" s="85"/>
      <c r="D213" s="85"/>
      <c r="E213" s="85"/>
      <c r="F213" s="85"/>
      <c r="G213" s="85"/>
      <c r="H213" s="86"/>
      <c r="I213" s="85"/>
    </row>
    <row r="214" spans="1:9" ht="15.75">
      <c r="A214" s="85"/>
      <c r="B214" s="85"/>
      <c r="C214" s="85"/>
      <c r="D214" s="85"/>
      <c r="E214" s="85"/>
      <c r="F214" s="85"/>
      <c r="G214" s="85"/>
      <c r="H214" s="86"/>
      <c r="I214" s="85"/>
    </row>
    <row r="215" spans="1:9" ht="15.75">
      <c r="A215" s="85"/>
      <c r="B215" s="85"/>
      <c r="C215" s="85"/>
      <c r="D215" s="85"/>
      <c r="E215" s="85"/>
      <c r="F215" s="85"/>
      <c r="G215" s="85"/>
      <c r="H215" s="86"/>
      <c r="I215" s="85"/>
    </row>
    <row r="216" spans="1:9" ht="15.75">
      <c r="A216" s="85"/>
      <c r="B216" s="85"/>
      <c r="C216" s="85"/>
      <c r="D216" s="85"/>
      <c r="E216" s="85"/>
      <c r="F216" s="85"/>
      <c r="G216" s="85"/>
      <c r="H216" s="86"/>
      <c r="I216" s="85"/>
    </row>
    <row r="217" spans="1:9" ht="15.75">
      <c r="A217" s="85"/>
      <c r="B217" s="85"/>
      <c r="C217" s="85"/>
      <c r="D217" s="85"/>
      <c r="E217" s="85"/>
      <c r="F217" s="85"/>
      <c r="G217" s="85"/>
      <c r="H217" s="86"/>
      <c r="I217" s="85"/>
    </row>
    <row r="218" spans="1:9" ht="15.75">
      <c r="A218" s="85"/>
      <c r="B218" s="85"/>
      <c r="C218" s="85"/>
      <c r="D218" s="85"/>
      <c r="E218" s="85"/>
      <c r="F218" s="85"/>
      <c r="G218" s="85"/>
      <c r="H218" s="86"/>
      <c r="I218" s="85"/>
    </row>
    <row r="219" spans="1:9" ht="15.75">
      <c r="A219" s="85"/>
      <c r="B219" s="85"/>
      <c r="C219" s="85"/>
      <c r="D219" s="85"/>
      <c r="E219" s="85"/>
      <c r="F219" s="85"/>
      <c r="G219" s="85"/>
      <c r="H219" s="86"/>
      <c r="I219" s="85"/>
    </row>
    <row r="220" spans="1:9" ht="15.75">
      <c r="A220" s="85"/>
      <c r="B220" s="85"/>
      <c r="C220" s="85"/>
      <c r="D220" s="85"/>
      <c r="E220" s="85"/>
      <c r="F220" s="85"/>
      <c r="G220" s="85"/>
      <c r="H220" s="86"/>
      <c r="I220" s="85"/>
    </row>
    <row r="221" spans="1:9" ht="15.75">
      <c r="A221" s="85"/>
      <c r="B221" s="85"/>
      <c r="C221" s="85"/>
      <c r="D221" s="85"/>
      <c r="E221" s="85"/>
      <c r="F221" s="85"/>
      <c r="G221" s="85"/>
      <c r="H221" s="86"/>
      <c r="I221" s="85"/>
    </row>
    <row r="222" spans="1:9" ht="15.75">
      <c r="A222" s="85"/>
      <c r="B222" s="85"/>
      <c r="C222" s="85"/>
      <c r="D222" s="85"/>
      <c r="E222" s="85"/>
      <c r="F222" s="85"/>
      <c r="G222" s="85"/>
      <c r="H222" s="86"/>
      <c r="I222" s="85"/>
    </row>
    <row r="223" spans="1:9" ht="15.75">
      <c r="A223" s="85"/>
      <c r="B223" s="85"/>
      <c r="C223" s="85"/>
      <c r="D223" s="85"/>
      <c r="E223" s="85"/>
      <c r="F223" s="85"/>
      <c r="G223" s="85"/>
      <c r="H223" s="86"/>
      <c r="I223" s="85"/>
    </row>
    <row r="224" spans="1:9" ht="15.75">
      <c r="A224" s="85"/>
      <c r="B224" s="85"/>
      <c r="C224" s="85"/>
      <c r="D224" s="85"/>
      <c r="E224" s="85"/>
      <c r="F224" s="85"/>
      <c r="G224" s="85"/>
      <c r="H224" s="86"/>
      <c r="I224" s="85"/>
    </row>
    <row r="225" spans="1:9" ht="15.75">
      <c r="A225" s="85"/>
      <c r="B225" s="85"/>
      <c r="C225" s="85"/>
      <c r="D225" s="85"/>
      <c r="E225" s="85"/>
      <c r="F225" s="85"/>
      <c r="G225" s="85"/>
      <c r="H225" s="86"/>
      <c r="I225" s="85"/>
    </row>
    <row r="226" spans="1:9" ht="15.75">
      <c r="A226" s="85"/>
      <c r="B226" s="85"/>
      <c r="C226" s="85"/>
      <c r="D226" s="85"/>
      <c r="E226" s="85"/>
      <c r="F226" s="85"/>
      <c r="G226" s="85"/>
      <c r="H226" s="86"/>
      <c r="I226" s="85"/>
    </row>
    <row r="227" spans="1:9" ht="15.75">
      <c r="A227" s="85"/>
      <c r="B227" s="85"/>
      <c r="C227" s="85"/>
      <c r="D227" s="85"/>
      <c r="E227" s="85"/>
      <c r="F227" s="85"/>
      <c r="G227" s="85"/>
      <c r="H227" s="86"/>
      <c r="I227" s="85"/>
    </row>
    <row r="228" spans="1:9" ht="15.75">
      <c r="A228" s="85"/>
      <c r="B228" s="85"/>
      <c r="C228" s="85"/>
      <c r="D228" s="85"/>
      <c r="E228" s="85"/>
      <c r="F228" s="85"/>
      <c r="G228" s="85"/>
      <c r="H228" s="86"/>
      <c r="I228" s="85"/>
    </row>
    <row r="229" spans="1:9" ht="15.75">
      <c r="A229" s="85"/>
      <c r="B229" s="85"/>
      <c r="C229" s="85"/>
      <c r="D229" s="85"/>
      <c r="E229" s="85"/>
      <c r="F229" s="85"/>
      <c r="G229" s="85"/>
      <c r="H229" s="86"/>
      <c r="I229" s="85"/>
    </row>
    <row r="230" spans="1:9" ht="15.75">
      <c r="A230" s="85"/>
      <c r="B230" s="85"/>
      <c r="C230" s="85"/>
      <c r="D230" s="85"/>
      <c r="E230" s="85"/>
      <c r="F230" s="85"/>
      <c r="G230" s="85"/>
      <c r="H230" s="86"/>
      <c r="I230" s="85"/>
    </row>
    <row r="231" spans="1:9" ht="15.75">
      <c r="A231" s="85"/>
      <c r="B231" s="85"/>
      <c r="C231" s="85"/>
      <c r="D231" s="85"/>
      <c r="E231" s="85"/>
      <c r="F231" s="85"/>
      <c r="G231" s="85"/>
      <c r="H231" s="86"/>
      <c r="I231" s="85"/>
    </row>
    <row r="232" spans="1:9" ht="15.75">
      <c r="A232" s="85"/>
      <c r="B232" s="85"/>
      <c r="C232" s="85"/>
      <c r="D232" s="85"/>
      <c r="E232" s="85"/>
      <c r="F232" s="85"/>
      <c r="G232" s="85"/>
      <c r="H232" s="86"/>
      <c r="I232" s="85"/>
    </row>
    <row r="233" spans="1:9" ht="15.75">
      <c r="A233" s="85"/>
      <c r="B233" s="85"/>
      <c r="C233" s="85"/>
      <c r="D233" s="85"/>
      <c r="E233" s="85"/>
      <c r="F233" s="85"/>
      <c r="G233" s="85"/>
      <c r="H233" s="86"/>
      <c r="I233" s="85"/>
    </row>
    <row r="234" spans="1:9" ht="15.75">
      <c r="A234" s="85"/>
      <c r="B234" s="85"/>
      <c r="C234" s="85"/>
      <c r="D234" s="85"/>
      <c r="E234" s="85"/>
      <c r="F234" s="85"/>
      <c r="G234" s="85"/>
      <c r="H234" s="86"/>
      <c r="I234" s="85"/>
    </row>
    <row r="235" spans="1:9" ht="15.75">
      <c r="A235" s="85"/>
      <c r="B235" s="85"/>
      <c r="C235" s="85"/>
      <c r="D235" s="85"/>
      <c r="E235" s="85"/>
      <c r="F235" s="85"/>
      <c r="G235" s="85"/>
      <c r="H235" s="86"/>
      <c r="I235" s="85"/>
    </row>
    <row r="236" spans="1:9" ht="15.75">
      <c r="A236" s="85"/>
      <c r="B236" s="85"/>
      <c r="C236" s="85"/>
      <c r="D236" s="85"/>
      <c r="E236" s="85"/>
      <c r="F236" s="85"/>
      <c r="G236" s="85"/>
      <c r="H236" s="86"/>
      <c r="I236" s="85"/>
    </row>
    <row r="237" spans="1:9" ht="15.75">
      <c r="A237" s="85"/>
      <c r="B237" s="85"/>
      <c r="C237" s="85"/>
      <c r="D237" s="85"/>
      <c r="E237" s="85"/>
      <c r="F237" s="85"/>
      <c r="G237" s="85"/>
      <c r="H237" s="86"/>
      <c r="I237" s="85"/>
    </row>
    <row r="238" spans="1:9" ht="15.75">
      <c r="A238" s="85"/>
      <c r="B238" s="85"/>
      <c r="C238" s="85"/>
      <c r="D238" s="85"/>
      <c r="E238" s="85"/>
      <c r="F238" s="85"/>
      <c r="G238" s="85"/>
      <c r="H238" s="86"/>
      <c r="I238" s="85"/>
    </row>
    <row r="239" spans="1:9" ht="15.75">
      <c r="A239" s="85"/>
      <c r="B239" s="85"/>
      <c r="C239" s="85"/>
      <c r="D239" s="85"/>
      <c r="E239" s="85"/>
      <c r="F239" s="85"/>
      <c r="G239" s="85"/>
      <c r="H239" s="86"/>
      <c r="I239" s="85"/>
    </row>
    <row r="240" spans="1:9" ht="15.75">
      <c r="A240" s="85"/>
      <c r="B240" s="85"/>
      <c r="C240" s="85"/>
      <c r="D240" s="85"/>
      <c r="E240" s="85"/>
      <c r="F240" s="85"/>
      <c r="G240" s="85"/>
      <c r="H240" s="86"/>
      <c r="I240" s="85"/>
    </row>
    <row r="241" spans="1:9" ht="15.75">
      <c r="A241" s="85"/>
      <c r="B241" s="85"/>
      <c r="C241" s="85"/>
      <c r="D241" s="85"/>
      <c r="E241" s="85"/>
      <c r="F241" s="85"/>
      <c r="G241" s="85"/>
      <c r="H241" s="86"/>
      <c r="I241" s="85"/>
    </row>
    <row r="242" spans="1:9" ht="15.75">
      <c r="A242" s="85"/>
      <c r="B242" s="85"/>
      <c r="C242" s="85"/>
      <c r="D242" s="85"/>
      <c r="E242" s="85"/>
      <c r="F242" s="85"/>
      <c r="G242" s="85"/>
      <c r="H242" s="86"/>
      <c r="I242" s="85"/>
    </row>
    <row r="243" spans="1:9" ht="15.75">
      <c r="A243" s="85"/>
      <c r="B243" s="85"/>
      <c r="C243" s="85"/>
      <c r="D243" s="85"/>
      <c r="E243" s="85"/>
      <c r="F243" s="85"/>
      <c r="G243" s="85"/>
      <c r="H243" s="86"/>
      <c r="I243" s="85"/>
    </row>
    <row r="244" spans="1:9" ht="15.75">
      <c r="A244" s="85"/>
      <c r="B244" s="85"/>
      <c r="C244" s="85"/>
      <c r="D244" s="85"/>
      <c r="E244" s="85"/>
      <c r="F244" s="85"/>
      <c r="G244" s="85"/>
      <c r="H244" s="86"/>
      <c r="I244" s="85"/>
    </row>
    <row r="245" spans="1:9" ht="15.75">
      <c r="A245" s="85"/>
      <c r="B245" s="85"/>
      <c r="C245" s="85"/>
      <c r="D245" s="85"/>
      <c r="E245" s="85"/>
      <c r="F245" s="85"/>
      <c r="G245" s="85"/>
      <c r="H245" s="86"/>
      <c r="I245" s="85"/>
    </row>
    <row r="246" spans="1:9" ht="15.75">
      <c r="A246" s="85"/>
      <c r="B246" s="85"/>
      <c r="C246" s="85"/>
      <c r="D246" s="85"/>
      <c r="E246" s="85"/>
      <c r="F246" s="85"/>
      <c r="G246" s="85"/>
      <c r="H246" s="86"/>
      <c r="I246" s="85"/>
    </row>
    <row r="247" spans="1:9" ht="15.75">
      <c r="A247" s="85"/>
      <c r="B247" s="85"/>
      <c r="C247" s="85"/>
      <c r="D247" s="85"/>
      <c r="E247" s="85"/>
      <c r="F247" s="85"/>
      <c r="G247" s="85"/>
      <c r="H247" s="86"/>
      <c r="I247" s="85"/>
    </row>
    <row r="248" spans="1:9" ht="15.75">
      <c r="A248" s="85"/>
      <c r="B248" s="85"/>
      <c r="C248" s="85"/>
      <c r="D248" s="85"/>
      <c r="E248" s="85"/>
      <c r="F248" s="85"/>
      <c r="G248" s="85"/>
      <c r="H248" s="86"/>
      <c r="I248" s="85"/>
    </row>
    <row r="249" spans="1:9" ht="15.75">
      <c r="A249" s="85"/>
      <c r="B249" s="85"/>
      <c r="C249" s="85"/>
      <c r="D249" s="85"/>
      <c r="E249" s="85"/>
      <c r="F249" s="85"/>
      <c r="G249" s="85"/>
      <c r="H249" s="86"/>
      <c r="I249" s="85"/>
    </row>
    <row r="250" spans="1:9" ht="15.75">
      <c r="A250" s="85"/>
      <c r="B250" s="85"/>
      <c r="C250" s="85"/>
      <c r="D250" s="85"/>
      <c r="E250" s="85"/>
      <c r="F250" s="85"/>
      <c r="G250" s="85"/>
      <c r="H250" s="86"/>
      <c r="I250" s="85"/>
    </row>
    <row r="251" spans="1:9" ht="15.75">
      <c r="A251" s="85"/>
      <c r="B251" s="85"/>
      <c r="C251" s="85"/>
      <c r="D251" s="85"/>
      <c r="E251" s="85"/>
      <c r="F251" s="85"/>
      <c r="G251" s="85"/>
      <c r="H251" s="86"/>
      <c r="I251" s="85"/>
    </row>
    <row r="252" spans="1:9" ht="15.75">
      <c r="A252" s="85"/>
      <c r="B252" s="85"/>
      <c r="C252" s="85"/>
      <c r="D252" s="85"/>
      <c r="E252" s="85"/>
      <c r="F252" s="85"/>
      <c r="G252" s="85"/>
      <c r="H252" s="86"/>
      <c r="I252" s="85"/>
    </row>
    <row r="253" spans="1:9" ht="15.75">
      <c r="A253" s="85"/>
      <c r="B253" s="85"/>
      <c r="C253" s="85"/>
      <c r="D253" s="85"/>
      <c r="E253" s="85"/>
      <c r="F253" s="85"/>
      <c r="G253" s="85"/>
      <c r="H253" s="86"/>
      <c r="I253" s="85"/>
    </row>
    <row r="254" spans="1:9" ht="15.75">
      <c r="A254" s="85"/>
      <c r="B254" s="85"/>
      <c r="C254" s="85"/>
      <c r="D254" s="85"/>
      <c r="E254" s="85"/>
      <c r="F254" s="85"/>
      <c r="G254" s="85"/>
      <c r="H254" s="86"/>
      <c r="I254" s="85"/>
    </row>
    <row r="255" spans="1:9" ht="15.75">
      <c r="A255" s="85"/>
      <c r="B255" s="85"/>
      <c r="C255" s="85"/>
      <c r="D255" s="85"/>
      <c r="E255" s="85"/>
      <c r="F255" s="85"/>
      <c r="G255" s="85"/>
      <c r="H255" s="86"/>
      <c r="I255" s="85"/>
    </row>
    <row r="256" spans="1:9" ht="15.75">
      <c r="A256" s="85"/>
      <c r="B256" s="85"/>
      <c r="C256" s="85"/>
      <c r="D256" s="85"/>
      <c r="E256" s="85"/>
      <c r="F256" s="85"/>
      <c r="G256" s="85"/>
      <c r="H256" s="86"/>
      <c r="I256" s="85"/>
    </row>
    <row r="257" spans="1:9" ht="15.75">
      <c r="A257" s="85"/>
      <c r="B257" s="85"/>
      <c r="C257" s="85"/>
      <c r="D257" s="85"/>
      <c r="E257" s="85"/>
      <c r="F257" s="85"/>
      <c r="G257" s="85"/>
      <c r="H257" s="86"/>
      <c r="I257" s="85"/>
    </row>
    <row r="258" spans="1:9" ht="15.75">
      <c r="A258" s="85"/>
      <c r="B258" s="85"/>
      <c r="C258" s="85"/>
      <c r="D258" s="85"/>
      <c r="E258" s="85"/>
      <c r="F258" s="85"/>
      <c r="G258" s="85"/>
      <c r="H258" s="86"/>
      <c r="I258" s="85"/>
    </row>
    <row r="259" spans="1:9" ht="15.75">
      <c r="A259" s="85"/>
      <c r="B259" s="85"/>
      <c r="C259" s="85"/>
      <c r="D259" s="85"/>
      <c r="E259" s="85"/>
      <c r="F259" s="85"/>
      <c r="G259" s="85"/>
      <c r="H259" s="86"/>
      <c r="I259" s="85"/>
    </row>
    <row r="260" spans="1:9" ht="15.75">
      <c r="A260" s="85"/>
      <c r="B260" s="85"/>
      <c r="C260" s="85"/>
      <c r="D260" s="85"/>
      <c r="E260" s="85"/>
      <c r="F260" s="85"/>
      <c r="G260" s="85"/>
      <c r="H260" s="86"/>
      <c r="I260" s="85"/>
    </row>
    <row r="261" spans="1:9" ht="15.75">
      <c r="A261" s="85"/>
      <c r="B261" s="85"/>
      <c r="C261" s="85"/>
      <c r="D261" s="85"/>
      <c r="E261" s="85"/>
      <c r="F261" s="85"/>
      <c r="G261" s="85"/>
      <c r="H261" s="86"/>
      <c r="I261" s="85"/>
    </row>
    <row r="262" spans="1:9" ht="15.75">
      <c r="A262" s="85"/>
      <c r="B262" s="85"/>
      <c r="C262" s="85"/>
      <c r="D262" s="85"/>
      <c r="E262" s="85"/>
      <c r="F262" s="85"/>
      <c r="G262" s="85"/>
      <c r="H262" s="86"/>
      <c r="I262" s="85"/>
    </row>
    <row r="263" spans="1:9" ht="15.75">
      <c r="A263" s="85"/>
      <c r="B263" s="85"/>
      <c r="C263" s="85"/>
      <c r="D263" s="85"/>
      <c r="E263" s="85"/>
      <c r="F263" s="85"/>
      <c r="G263" s="85"/>
      <c r="H263" s="86"/>
      <c r="I263" s="85"/>
    </row>
    <row r="264" spans="1:9" ht="15.75">
      <c r="A264" s="85"/>
      <c r="B264" s="85"/>
      <c r="C264" s="85"/>
      <c r="D264" s="85"/>
      <c r="E264" s="85"/>
      <c r="F264" s="85"/>
      <c r="G264" s="85"/>
      <c r="H264" s="86"/>
      <c r="I264" s="85"/>
    </row>
    <row r="265" spans="1:9" ht="15.75">
      <c r="A265" s="85"/>
      <c r="B265" s="85"/>
      <c r="C265" s="85"/>
      <c r="D265" s="85"/>
      <c r="E265" s="85"/>
      <c r="F265" s="85"/>
      <c r="G265" s="85"/>
      <c r="H265" s="86"/>
      <c r="I265" s="85"/>
    </row>
    <row r="266" spans="1:9" ht="15.75">
      <c r="A266" s="85"/>
      <c r="B266" s="85"/>
      <c r="C266" s="85"/>
      <c r="D266" s="85"/>
      <c r="E266" s="85"/>
      <c r="F266" s="85"/>
      <c r="G266" s="85"/>
      <c r="H266" s="86"/>
      <c r="I266" s="85"/>
    </row>
    <row r="267" spans="1:9" ht="15.75">
      <c r="A267" s="85"/>
      <c r="B267" s="85"/>
      <c r="C267" s="85"/>
      <c r="D267" s="85"/>
      <c r="E267" s="85"/>
      <c r="F267" s="85"/>
      <c r="G267" s="85"/>
      <c r="H267" s="86"/>
      <c r="I267" s="85"/>
    </row>
    <row r="268" spans="1:9" ht="15.75">
      <c r="A268" s="85"/>
      <c r="B268" s="85"/>
      <c r="C268" s="85"/>
      <c r="D268" s="85"/>
      <c r="E268" s="85"/>
      <c r="F268" s="85"/>
      <c r="G268" s="85"/>
      <c r="H268" s="86"/>
      <c r="I268" s="85"/>
    </row>
    <row r="269" spans="1:9" ht="15.75">
      <c r="A269" s="85"/>
      <c r="B269" s="85"/>
      <c r="C269" s="85"/>
      <c r="D269" s="85"/>
      <c r="E269" s="85"/>
      <c r="F269" s="85"/>
      <c r="G269" s="85"/>
      <c r="H269" s="86"/>
      <c r="I269" s="85"/>
    </row>
    <row r="270" spans="1:9" ht="15.75">
      <c r="A270" s="85"/>
      <c r="B270" s="85"/>
      <c r="C270" s="85"/>
      <c r="D270" s="85"/>
      <c r="E270" s="85"/>
      <c r="F270" s="85"/>
      <c r="G270" s="85"/>
      <c r="H270" s="86"/>
      <c r="I270" s="85"/>
    </row>
    <row r="271" spans="1:9" ht="15.75">
      <c r="A271" s="85"/>
      <c r="B271" s="85"/>
      <c r="C271" s="85"/>
      <c r="D271" s="85"/>
      <c r="E271" s="85"/>
      <c r="F271" s="85"/>
      <c r="G271" s="85"/>
      <c r="H271" s="86"/>
      <c r="I271" s="85"/>
    </row>
    <row r="272" spans="1:9" ht="15.75">
      <c r="A272" s="85"/>
      <c r="B272" s="85"/>
      <c r="C272" s="85"/>
      <c r="D272" s="85"/>
      <c r="E272" s="85"/>
      <c r="F272" s="85"/>
      <c r="G272" s="85"/>
      <c r="H272" s="86"/>
      <c r="I272" s="85"/>
    </row>
    <row r="273" spans="1:9" ht="15.75">
      <c r="A273" s="85"/>
      <c r="B273" s="85"/>
      <c r="C273" s="85"/>
      <c r="D273" s="85"/>
      <c r="E273" s="85"/>
      <c r="F273" s="85"/>
      <c r="G273" s="85"/>
      <c r="H273" s="86"/>
      <c r="I273" s="85"/>
    </row>
    <row r="274" spans="1:9" ht="15.75">
      <c r="A274" s="85"/>
      <c r="B274" s="85"/>
      <c r="C274" s="85"/>
      <c r="D274" s="85"/>
      <c r="E274" s="85"/>
      <c r="F274" s="85"/>
      <c r="G274" s="85"/>
      <c r="H274" s="86"/>
      <c r="I274" s="85"/>
    </row>
    <row r="275" spans="1:9" ht="15.75">
      <c r="A275" s="85"/>
      <c r="B275" s="85"/>
      <c r="C275" s="85"/>
      <c r="D275" s="85"/>
      <c r="E275" s="85"/>
      <c r="F275" s="85"/>
      <c r="G275" s="85"/>
      <c r="H275" s="86"/>
      <c r="I275" s="85"/>
    </row>
    <row r="276" spans="1:9" ht="15.75">
      <c r="A276" s="85"/>
      <c r="B276" s="85"/>
      <c r="C276" s="85"/>
      <c r="D276" s="85"/>
      <c r="E276" s="85"/>
      <c r="F276" s="85"/>
      <c r="G276" s="85"/>
      <c r="H276" s="86"/>
      <c r="I276" s="85"/>
    </row>
    <row r="277" spans="1:9" ht="15.75">
      <c r="A277" s="85"/>
      <c r="B277" s="85"/>
      <c r="C277" s="85"/>
      <c r="D277" s="85"/>
      <c r="E277" s="85"/>
      <c r="F277" s="85"/>
      <c r="G277" s="85"/>
      <c r="H277" s="86"/>
      <c r="I277" s="85"/>
    </row>
    <row r="278" spans="1:9" ht="15.75">
      <c r="A278" s="85"/>
      <c r="B278" s="85"/>
      <c r="C278" s="85"/>
      <c r="D278" s="85"/>
      <c r="E278" s="85"/>
      <c r="F278" s="85"/>
      <c r="G278" s="85"/>
      <c r="H278" s="86"/>
      <c r="I278" s="85"/>
    </row>
    <row r="279" spans="1:9" ht="15.75">
      <c r="A279" s="85"/>
      <c r="B279" s="85"/>
      <c r="C279" s="85"/>
      <c r="D279" s="85"/>
      <c r="E279" s="85"/>
      <c r="F279" s="85"/>
      <c r="G279" s="85"/>
      <c r="H279" s="86"/>
      <c r="I279" s="85"/>
    </row>
    <row r="280" spans="1:9" ht="15.75">
      <c r="A280" s="85"/>
      <c r="B280" s="85"/>
      <c r="C280" s="85"/>
      <c r="D280" s="85"/>
      <c r="E280" s="85"/>
      <c r="F280" s="85"/>
      <c r="G280" s="85"/>
      <c r="H280" s="86"/>
      <c r="I280" s="85"/>
    </row>
    <row r="281" spans="1:9" ht="15.75">
      <c r="A281" s="85"/>
      <c r="B281" s="85"/>
      <c r="C281" s="85"/>
      <c r="D281" s="85"/>
      <c r="E281" s="85"/>
      <c r="F281" s="85"/>
      <c r="G281" s="85"/>
      <c r="H281" s="86"/>
      <c r="I281" s="85"/>
    </row>
    <row r="282" spans="1:9" ht="15.75">
      <c r="A282" s="85"/>
      <c r="B282" s="85"/>
      <c r="C282" s="85"/>
      <c r="D282" s="85"/>
      <c r="E282" s="85"/>
      <c r="F282" s="85"/>
      <c r="G282" s="85"/>
      <c r="H282" s="86"/>
      <c r="I282" s="85"/>
    </row>
    <row r="283" spans="1:9" ht="15.75">
      <c r="A283" s="85"/>
      <c r="B283" s="85"/>
      <c r="C283" s="85"/>
      <c r="D283" s="85"/>
      <c r="E283" s="85"/>
      <c r="F283" s="85"/>
      <c r="G283" s="85"/>
      <c r="H283" s="86"/>
      <c r="I283" s="85"/>
    </row>
    <row r="284" spans="1:9" ht="15.75">
      <c r="A284" s="85"/>
      <c r="B284" s="85"/>
      <c r="C284" s="85"/>
      <c r="D284" s="85"/>
      <c r="E284" s="85"/>
      <c r="F284" s="85"/>
      <c r="G284" s="85"/>
      <c r="H284" s="86"/>
      <c r="I284" s="85"/>
    </row>
    <row r="285" spans="1:9" ht="15.75">
      <c r="A285" s="85"/>
      <c r="B285" s="85"/>
      <c r="C285" s="85"/>
      <c r="D285" s="85"/>
      <c r="E285" s="85"/>
      <c r="F285" s="85"/>
      <c r="G285" s="85"/>
      <c r="H285" s="86"/>
      <c r="I285" s="85"/>
    </row>
    <row r="286" spans="1:9" ht="15.75">
      <c r="A286" s="85"/>
      <c r="B286" s="85"/>
      <c r="C286" s="85"/>
      <c r="D286" s="85"/>
      <c r="E286" s="85"/>
      <c r="F286" s="85"/>
      <c r="G286" s="85"/>
      <c r="H286" s="86"/>
      <c r="I286" s="85"/>
    </row>
    <row r="287" spans="1:9" ht="15.75">
      <c r="A287" s="85"/>
      <c r="B287" s="85"/>
      <c r="C287" s="85"/>
      <c r="D287" s="85"/>
      <c r="E287" s="85"/>
      <c r="F287" s="85"/>
      <c r="G287" s="85"/>
      <c r="H287" s="86"/>
      <c r="I287" s="85"/>
    </row>
    <row r="288" spans="1:9" ht="15.75">
      <c r="A288" s="85"/>
      <c r="B288" s="85"/>
      <c r="C288" s="85"/>
      <c r="D288" s="85"/>
      <c r="E288" s="85"/>
      <c r="F288" s="85"/>
      <c r="G288" s="85"/>
      <c r="H288" s="86"/>
      <c r="I288" s="85"/>
    </row>
    <row r="289" spans="1:9" ht="15.75">
      <c r="A289" s="85"/>
      <c r="B289" s="85"/>
      <c r="C289" s="85"/>
      <c r="D289" s="85"/>
      <c r="E289" s="85"/>
      <c r="F289" s="85"/>
      <c r="G289" s="85"/>
      <c r="H289" s="86"/>
      <c r="I289" s="85"/>
    </row>
    <row r="290" spans="1:9" ht="15.75">
      <c r="A290" s="85"/>
      <c r="B290" s="85"/>
      <c r="C290" s="85"/>
      <c r="D290" s="85"/>
      <c r="E290" s="85"/>
      <c r="F290" s="85"/>
      <c r="G290" s="85"/>
      <c r="H290" s="86"/>
      <c r="I290" s="85"/>
    </row>
    <row r="291" spans="1:9" ht="15.75">
      <c r="A291" s="85"/>
      <c r="B291" s="85"/>
      <c r="C291" s="85"/>
      <c r="D291" s="85"/>
      <c r="E291" s="85"/>
      <c r="F291" s="85"/>
      <c r="G291" s="85"/>
      <c r="H291" s="86"/>
      <c r="I291" s="85"/>
    </row>
    <row r="292" spans="1:9" ht="15.75">
      <c r="A292" s="85"/>
      <c r="B292" s="85"/>
      <c r="C292" s="85"/>
      <c r="D292" s="85"/>
      <c r="E292" s="85"/>
      <c r="F292" s="85"/>
      <c r="G292" s="85"/>
      <c r="H292" s="86"/>
      <c r="I292" s="85"/>
    </row>
    <row r="293" spans="1:9" ht="15.75">
      <c r="A293" s="85"/>
      <c r="B293" s="85"/>
      <c r="C293" s="85"/>
      <c r="D293" s="85"/>
      <c r="E293" s="85"/>
      <c r="F293" s="85"/>
      <c r="G293" s="85"/>
      <c r="H293" s="86"/>
      <c r="I293" s="85"/>
    </row>
    <row r="294" spans="1:9" ht="15.75">
      <c r="A294" s="85"/>
      <c r="B294" s="85"/>
      <c r="C294" s="85"/>
      <c r="D294" s="85"/>
      <c r="E294" s="85"/>
      <c r="F294" s="85"/>
      <c r="G294" s="85"/>
      <c r="H294" s="86"/>
      <c r="I294" s="85"/>
    </row>
    <row r="295" spans="1:9" ht="15.75">
      <c r="A295" s="85"/>
      <c r="B295" s="85"/>
      <c r="C295" s="85"/>
      <c r="D295" s="85"/>
      <c r="E295" s="85"/>
      <c r="F295" s="85"/>
      <c r="G295" s="85"/>
      <c r="H295" s="86"/>
      <c r="I295" s="85"/>
    </row>
    <row r="296" spans="1:9" ht="15.75">
      <c r="A296" s="85"/>
      <c r="B296" s="85"/>
      <c r="C296" s="85"/>
      <c r="D296" s="85"/>
      <c r="E296" s="85"/>
      <c r="F296" s="85"/>
      <c r="G296" s="85"/>
      <c r="H296" s="86"/>
      <c r="I296" s="85"/>
    </row>
    <row r="297" spans="1:9" ht="15.75">
      <c r="A297" s="85"/>
      <c r="B297" s="85"/>
      <c r="C297" s="85"/>
      <c r="D297" s="85"/>
      <c r="E297" s="85"/>
      <c r="F297" s="85"/>
      <c r="G297" s="85"/>
      <c r="H297" s="86"/>
      <c r="I297" s="85"/>
    </row>
    <row r="298" spans="1:9" ht="15.75">
      <c r="A298" s="85"/>
      <c r="B298" s="85"/>
      <c r="C298" s="85"/>
      <c r="D298" s="85"/>
      <c r="E298" s="85"/>
      <c r="F298" s="85"/>
      <c r="G298" s="85"/>
      <c r="H298" s="86"/>
      <c r="I298" s="85"/>
    </row>
    <row r="299" spans="1:9" ht="15.75">
      <c r="A299" s="85"/>
      <c r="B299" s="85"/>
      <c r="C299" s="85"/>
      <c r="D299" s="85"/>
      <c r="E299" s="85"/>
      <c r="F299" s="85"/>
      <c r="G299" s="85"/>
      <c r="H299" s="86"/>
      <c r="I299" s="85"/>
    </row>
    <row r="300" spans="1:9" ht="15.75">
      <c r="A300" s="85"/>
      <c r="B300" s="85"/>
      <c r="C300" s="85"/>
      <c r="D300" s="85"/>
      <c r="E300" s="85"/>
      <c r="F300" s="85"/>
      <c r="G300" s="85"/>
      <c r="H300" s="86"/>
      <c r="I300" s="85"/>
    </row>
    <row r="301" spans="1:9" ht="15.75">
      <c r="A301" s="85"/>
      <c r="B301" s="85"/>
      <c r="C301" s="85"/>
      <c r="D301" s="85"/>
      <c r="E301" s="85"/>
      <c r="F301" s="85"/>
      <c r="G301" s="85"/>
      <c r="H301" s="86"/>
      <c r="I301" s="85"/>
    </row>
    <row r="302" spans="1:9" ht="15.75">
      <c r="A302" s="85"/>
      <c r="B302" s="85"/>
      <c r="C302" s="85"/>
      <c r="D302" s="85"/>
      <c r="E302" s="85"/>
      <c r="F302" s="85"/>
      <c r="G302" s="85"/>
      <c r="H302" s="86"/>
      <c r="I302" s="85"/>
    </row>
    <row r="303" spans="1:9" ht="15.75">
      <c r="A303" s="85"/>
      <c r="B303" s="85"/>
      <c r="C303" s="85"/>
      <c r="D303" s="85"/>
      <c r="E303" s="85"/>
      <c r="F303" s="85"/>
      <c r="G303" s="85"/>
      <c r="H303" s="86"/>
      <c r="I303" s="85"/>
    </row>
    <row r="304" spans="1:9" ht="15.75">
      <c r="A304" s="85"/>
      <c r="B304" s="85"/>
      <c r="C304" s="85"/>
      <c r="D304" s="85"/>
      <c r="E304" s="85"/>
      <c r="F304" s="85"/>
      <c r="G304" s="85"/>
      <c r="H304" s="86"/>
      <c r="I304" s="85"/>
    </row>
    <row r="305" spans="1:9" ht="15.75">
      <c r="A305" s="85"/>
      <c r="B305" s="85"/>
      <c r="C305" s="85"/>
      <c r="D305" s="85"/>
      <c r="E305" s="85"/>
      <c r="F305" s="85"/>
      <c r="G305" s="85"/>
      <c r="H305" s="86"/>
      <c r="I305" s="85"/>
    </row>
    <row r="306" spans="1:9" ht="15.75">
      <c r="A306" s="85"/>
      <c r="B306" s="85"/>
      <c r="C306" s="85"/>
      <c r="D306" s="85"/>
      <c r="E306" s="85"/>
      <c r="F306" s="85"/>
      <c r="G306" s="85"/>
      <c r="H306" s="86"/>
      <c r="I306" s="85"/>
    </row>
    <row r="307" spans="1:9" ht="15.75">
      <c r="A307" s="85"/>
      <c r="B307" s="85"/>
      <c r="C307" s="85"/>
      <c r="D307" s="85"/>
      <c r="E307" s="85"/>
      <c r="F307" s="85"/>
      <c r="G307" s="85"/>
      <c r="H307" s="86"/>
      <c r="I307" s="85"/>
    </row>
    <row r="308" spans="1:9" ht="15.75">
      <c r="A308" s="85"/>
      <c r="B308" s="85"/>
      <c r="C308" s="85"/>
      <c r="D308" s="85"/>
      <c r="E308" s="85"/>
      <c r="F308" s="85"/>
      <c r="G308" s="85"/>
      <c r="H308" s="86"/>
      <c r="I308" s="85"/>
    </row>
    <row r="309" spans="1:9" ht="15.75">
      <c r="A309" s="85"/>
      <c r="B309" s="85"/>
      <c r="C309" s="85"/>
      <c r="D309" s="85"/>
      <c r="E309" s="85"/>
      <c r="F309" s="85"/>
      <c r="G309" s="85"/>
      <c r="H309" s="86"/>
      <c r="I309" s="85"/>
    </row>
    <row r="310" spans="1:9" ht="15.75">
      <c r="A310" s="85"/>
      <c r="B310" s="85"/>
      <c r="C310" s="85"/>
      <c r="D310" s="85"/>
      <c r="E310" s="85"/>
      <c r="F310" s="85"/>
      <c r="G310" s="85"/>
      <c r="H310" s="86"/>
      <c r="I310" s="85"/>
    </row>
    <row r="311" spans="1:9" ht="15.75">
      <c r="A311" s="85"/>
      <c r="B311" s="85"/>
      <c r="C311" s="85"/>
      <c r="D311" s="85"/>
      <c r="E311" s="85"/>
      <c r="F311" s="85"/>
      <c r="G311" s="85"/>
      <c r="H311" s="86"/>
      <c r="I311" s="85"/>
    </row>
    <row r="312" spans="1:9" ht="15.75">
      <c r="A312" s="85"/>
      <c r="B312" s="85"/>
      <c r="C312" s="85"/>
      <c r="D312" s="85"/>
      <c r="E312" s="85"/>
      <c r="F312" s="85"/>
      <c r="G312" s="85"/>
      <c r="H312" s="86"/>
      <c r="I312" s="85"/>
    </row>
    <row r="313" spans="1:9" ht="15.75">
      <c r="A313" s="85"/>
      <c r="B313" s="85"/>
      <c r="C313" s="85"/>
      <c r="D313" s="85"/>
      <c r="E313" s="85"/>
      <c r="F313" s="85"/>
      <c r="G313" s="85"/>
      <c r="H313" s="86"/>
      <c r="I313" s="85"/>
    </row>
    <row r="314" spans="1:9" ht="15.75">
      <c r="A314" s="85"/>
      <c r="B314" s="85"/>
      <c r="C314" s="85"/>
      <c r="D314" s="85"/>
      <c r="E314" s="85"/>
      <c r="F314" s="85"/>
      <c r="G314" s="85"/>
      <c r="H314" s="86"/>
      <c r="I314" s="85"/>
    </row>
    <row r="315" spans="1:9" ht="15.75">
      <c r="A315" s="85"/>
      <c r="B315" s="85"/>
      <c r="C315" s="85"/>
      <c r="D315" s="85"/>
      <c r="E315" s="85"/>
      <c r="F315" s="85"/>
      <c r="G315" s="85"/>
      <c r="H315" s="86"/>
      <c r="I315" s="85"/>
    </row>
    <row r="316" spans="1:9" ht="15.75">
      <c r="A316" s="85"/>
      <c r="B316" s="85"/>
      <c r="C316" s="85"/>
      <c r="D316" s="85"/>
      <c r="E316" s="85"/>
      <c r="F316" s="85"/>
      <c r="G316" s="85"/>
      <c r="H316" s="86"/>
      <c r="I316" s="85"/>
    </row>
    <row r="317" spans="1:9" ht="15.75">
      <c r="A317" s="85"/>
      <c r="B317" s="85"/>
      <c r="C317" s="85"/>
      <c r="D317" s="85"/>
      <c r="E317" s="85"/>
      <c r="F317" s="85"/>
      <c r="G317" s="85"/>
      <c r="H317" s="86"/>
      <c r="I317" s="85"/>
    </row>
    <row r="318" spans="1:9" ht="15.75">
      <c r="A318" s="85"/>
      <c r="B318" s="85"/>
      <c r="C318" s="85"/>
      <c r="D318" s="85"/>
      <c r="E318" s="85"/>
      <c r="F318" s="85"/>
      <c r="G318" s="85"/>
      <c r="H318" s="86"/>
      <c r="I318" s="85"/>
    </row>
    <row r="319" spans="1:9" ht="15.75">
      <c r="A319" s="85"/>
      <c r="B319" s="85"/>
      <c r="C319" s="85"/>
      <c r="D319" s="85"/>
      <c r="E319" s="85"/>
      <c r="F319" s="85"/>
      <c r="G319" s="85"/>
      <c r="H319" s="86"/>
      <c r="I319" s="85"/>
    </row>
    <row r="320" spans="1:9" ht="15.75">
      <c r="A320" s="85"/>
      <c r="B320" s="85"/>
      <c r="C320" s="85"/>
      <c r="D320" s="85"/>
      <c r="E320" s="85"/>
      <c r="F320" s="85"/>
      <c r="G320" s="85"/>
      <c r="H320" s="86"/>
      <c r="I320" s="85"/>
    </row>
    <row r="321" spans="1:9" ht="15.75">
      <c r="A321" s="85"/>
      <c r="B321" s="85"/>
      <c r="C321" s="85"/>
      <c r="D321" s="85"/>
      <c r="E321" s="85"/>
      <c r="F321" s="85"/>
      <c r="G321" s="85"/>
      <c r="H321" s="86"/>
      <c r="I321" s="85"/>
    </row>
    <row r="322" spans="1:9" ht="15.75">
      <c r="A322" s="85"/>
      <c r="B322" s="85"/>
      <c r="C322" s="85"/>
      <c r="D322" s="85"/>
      <c r="E322" s="85"/>
      <c r="F322" s="85"/>
      <c r="G322" s="85"/>
      <c r="H322" s="86"/>
      <c r="I322" s="85"/>
    </row>
    <row r="323" spans="1:9" ht="15.75">
      <c r="A323" s="85"/>
      <c r="B323" s="85"/>
      <c r="C323" s="85"/>
      <c r="D323" s="85"/>
      <c r="E323" s="85"/>
      <c r="F323" s="85"/>
      <c r="G323" s="85"/>
      <c r="H323" s="86"/>
      <c r="I323" s="85"/>
    </row>
    <row r="324" spans="1:9" ht="15.75">
      <c r="A324" s="85"/>
      <c r="B324" s="85"/>
      <c r="C324" s="85"/>
      <c r="D324" s="85"/>
      <c r="E324" s="85"/>
      <c r="F324" s="85"/>
      <c r="G324" s="85"/>
      <c r="H324" s="86"/>
      <c r="I324" s="85"/>
    </row>
    <row r="325" spans="1:9" ht="15.75">
      <c r="A325" s="85"/>
      <c r="B325" s="85"/>
      <c r="C325" s="85"/>
      <c r="D325" s="85"/>
      <c r="E325" s="85"/>
      <c r="F325" s="85"/>
      <c r="G325" s="85"/>
      <c r="H325" s="86"/>
      <c r="I325" s="85"/>
    </row>
    <row r="326" spans="1:9" ht="15.75">
      <c r="A326" s="85"/>
      <c r="B326" s="85"/>
      <c r="C326" s="85"/>
      <c r="D326" s="85"/>
      <c r="E326" s="85"/>
      <c r="F326" s="85"/>
      <c r="G326" s="85"/>
      <c r="H326" s="86"/>
      <c r="I326" s="85"/>
    </row>
    <row r="327" spans="1:9" ht="15.75">
      <c r="A327" s="85"/>
      <c r="B327" s="85"/>
      <c r="C327" s="85"/>
      <c r="D327" s="85"/>
      <c r="E327" s="85"/>
      <c r="F327" s="85"/>
      <c r="G327" s="85"/>
      <c r="H327" s="86"/>
      <c r="I327" s="85"/>
    </row>
    <row r="328" spans="1:9" ht="15.75">
      <c r="A328" s="85"/>
      <c r="B328" s="85"/>
      <c r="C328" s="85"/>
      <c r="D328" s="85"/>
      <c r="E328" s="85"/>
      <c r="F328" s="85"/>
      <c r="G328" s="85"/>
      <c r="H328" s="86"/>
      <c r="I328" s="85"/>
    </row>
    <row r="329" spans="1:9" ht="15.75">
      <c r="A329" s="85"/>
      <c r="B329" s="85"/>
      <c r="C329" s="85"/>
      <c r="D329" s="85"/>
      <c r="E329" s="85"/>
      <c r="F329" s="85"/>
      <c r="G329" s="85"/>
      <c r="H329" s="86"/>
      <c r="I329" s="85"/>
    </row>
    <row r="330" spans="1:9" ht="15.75">
      <c r="A330" s="85"/>
      <c r="B330" s="85"/>
      <c r="C330" s="85"/>
      <c r="D330" s="85"/>
      <c r="E330" s="85"/>
      <c r="F330" s="85"/>
      <c r="G330" s="85"/>
      <c r="H330" s="86"/>
      <c r="I330" s="85"/>
    </row>
    <row r="331" spans="1:9" ht="15.75">
      <c r="A331" s="85"/>
      <c r="B331" s="85"/>
      <c r="C331" s="85"/>
      <c r="D331" s="85"/>
      <c r="E331" s="85"/>
      <c r="F331" s="85"/>
      <c r="G331" s="85"/>
      <c r="H331" s="86"/>
      <c r="I331" s="85"/>
    </row>
    <row r="332" spans="1:9" ht="15.75">
      <c r="A332" s="85"/>
      <c r="B332" s="85"/>
      <c r="C332" s="85"/>
      <c r="D332" s="85"/>
      <c r="E332" s="85"/>
      <c r="F332" s="85"/>
      <c r="G332" s="85"/>
      <c r="H332" s="86"/>
      <c r="I332" s="85"/>
    </row>
    <row r="333" spans="1:9" ht="15.75">
      <c r="A333" s="85"/>
      <c r="B333" s="85"/>
      <c r="C333" s="85"/>
      <c r="D333" s="85"/>
      <c r="E333" s="85"/>
      <c r="F333" s="85"/>
      <c r="G333" s="85"/>
      <c r="H333" s="86"/>
      <c r="I333" s="85"/>
    </row>
    <row r="334" spans="1:9" ht="15.75">
      <c r="A334" s="85"/>
      <c r="B334" s="85"/>
      <c r="C334" s="85"/>
      <c r="D334" s="85"/>
      <c r="E334" s="85"/>
      <c r="F334" s="85"/>
      <c r="G334" s="85"/>
      <c r="H334" s="86"/>
      <c r="I334" s="85"/>
    </row>
    <row r="335" spans="1:9" ht="15.75">
      <c r="A335" s="85"/>
      <c r="B335" s="85"/>
      <c r="C335" s="85"/>
      <c r="D335" s="85"/>
      <c r="E335" s="85"/>
      <c r="F335" s="85"/>
      <c r="G335" s="85"/>
      <c r="H335" s="86"/>
      <c r="I335" s="85"/>
    </row>
    <row r="336" spans="1:9" ht="15.75">
      <c r="A336" s="85"/>
      <c r="B336" s="85"/>
      <c r="C336" s="85"/>
      <c r="D336" s="85"/>
      <c r="E336" s="85"/>
      <c r="F336" s="85"/>
      <c r="G336" s="85"/>
      <c r="H336" s="86"/>
      <c r="I336" s="85"/>
    </row>
    <row r="337" spans="1:9" ht="15.75">
      <c r="A337" s="85"/>
      <c r="B337" s="85"/>
      <c r="C337" s="85"/>
      <c r="D337" s="85"/>
      <c r="E337" s="85"/>
      <c r="F337" s="85"/>
      <c r="G337" s="85"/>
      <c r="H337" s="86"/>
      <c r="I337" s="85"/>
    </row>
    <row r="338" spans="1:9" ht="15.75">
      <c r="A338" s="85"/>
      <c r="B338" s="85"/>
      <c r="C338" s="85"/>
      <c r="D338" s="85"/>
      <c r="E338" s="85"/>
      <c r="F338" s="85"/>
      <c r="G338" s="85"/>
      <c r="H338" s="86"/>
      <c r="I338" s="85"/>
    </row>
    <row r="339" spans="1:9" ht="15.75">
      <c r="A339" s="85"/>
      <c r="B339" s="85"/>
      <c r="C339" s="85"/>
      <c r="D339" s="85"/>
      <c r="E339" s="85"/>
      <c r="F339" s="85"/>
      <c r="G339" s="85"/>
      <c r="H339" s="86"/>
      <c r="I339" s="85"/>
    </row>
    <row r="340" spans="1:9" ht="15.75">
      <c r="A340" s="85"/>
      <c r="B340" s="85"/>
      <c r="C340" s="85"/>
      <c r="D340" s="85"/>
      <c r="E340" s="85"/>
      <c r="F340" s="85"/>
      <c r="G340" s="85"/>
      <c r="H340" s="86"/>
      <c r="I340" s="85"/>
    </row>
    <row r="341" spans="1:9" ht="15.75">
      <c r="A341" s="85"/>
      <c r="B341" s="85"/>
      <c r="C341" s="85"/>
      <c r="D341" s="85"/>
      <c r="E341" s="85"/>
      <c r="F341" s="85"/>
      <c r="G341" s="85"/>
      <c r="H341" s="86"/>
      <c r="I341" s="85"/>
    </row>
    <row r="342" spans="1:9" ht="15.75">
      <c r="A342" s="85"/>
      <c r="B342" s="85"/>
      <c r="C342" s="85"/>
      <c r="D342" s="85"/>
      <c r="E342" s="85"/>
      <c r="F342" s="85"/>
      <c r="G342" s="85"/>
      <c r="H342" s="86"/>
      <c r="I342" s="85"/>
    </row>
    <row r="343" spans="1:9" ht="15.75">
      <c r="A343" s="85"/>
      <c r="B343" s="85"/>
      <c r="C343" s="85"/>
      <c r="D343" s="85"/>
      <c r="E343" s="85"/>
      <c r="F343" s="85"/>
      <c r="G343" s="85"/>
      <c r="H343" s="86"/>
      <c r="I343" s="85"/>
    </row>
    <row r="344" spans="1:9" ht="15.75">
      <c r="A344" s="85"/>
      <c r="B344" s="85"/>
      <c r="C344" s="85"/>
      <c r="D344" s="85"/>
      <c r="E344" s="85"/>
      <c r="F344" s="85"/>
      <c r="G344" s="85"/>
      <c r="H344" s="86"/>
      <c r="I344" s="85"/>
    </row>
    <row r="345" spans="1:9" ht="15.75">
      <c r="A345" s="85"/>
      <c r="B345" s="85"/>
      <c r="C345" s="85"/>
      <c r="D345" s="85"/>
      <c r="E345" s="85"/>
      <c r="F345" s="85"/>
      <c r="G345" s="85"/>
      <c r="H345" s="86"/>
      <c r="I345" s="85"/>
    </row>
    <row r="346" spans="1:9" ht="15.75">
      <c r="A346" s="85"/>
      <c r="B346" s="85"/>
      <c r="C346" s="85"/>
      <c r="D346" s="85"/>
      <c r="E346" s="85"/>
      <c r="F346" s="85"/>
      <c r="G346" s="85"/>
      <c r="H346" s="86"/>
      <c r="I346" s="85"/>
    </row>
    <row r="347" spans="1:9" ht="15.75">
      <c r="A347" s="85"/>
      <c r="B347" s="85"/>
      <c r="C347" s="85"/>
      <c r="D347" s="85"/>
      <c r="E347" s="85"/>
      <c r="F347" s="85"/>
      <c r="G347" s="85"/>
      <c r="H347" s="86"/>
      <c r="I347" s="85"/>
    </row>
    <row r="348" spans="1:9" ht="15.75">
      <c r="A348" s="85"/>
      <c r="B348" s="85"/>
      <c r="C348" s="85"/>
      <c r="D348" s="85"/>
      <c r="E348" s="85"/>
      <c r="F348" s="85"/>
      <c r="G348" s="85"/>
      <c r="H348" s="86"/>
      <c r="I348" s="85"/>
    </row>
    <row r="349" spans="1:9" ht="15.75">
      <c r="A349" s="85"/>
      <c r="B349" s="85"/>
      <c r="C349" s="85"/>
      <c r="D349" s="85"/>
      <c r="E349" s="85"/>
      <c r="F349" s="85"/>
      <c r="G349" s="85"/>
      <c r="H349" s="86"/>
      <c r="I349" s="85"/>
    </row>
    <row r="350" spans="1:9" ht="15.75">
      <c r="A350" s="85"/>
      <c r="B350" s="85"/>
      <c r="C350" s="85"/>
      <c r="D350" s="85"/>
      <c r="E350" s="85"/>
      <c r="F350" s="85"/>
      <c r="G350" s="85"/>
      <c r="H350" s="86"/>
      <c r="I350" s="85"/>
    </row>
    <row r="351" spans="1:9" ht="15.75">
      <c r="A351" s="85"/>
      <c r="B351" s="85"/>
      <c r="C351" s="85"/>
      <c r="D351" s="85"/>
      <c r="E351" s="85"/>
      <c r="F351" s="85"/>
      <c r="G351" s="85"/>
      <c r="H351" s="86"/>
      <c r="I351" s="85"/>
    </row>
    <row r="352" spans="1:9" ht="15.75">
      <c r="A352" s="85"/>
      <c r="B352" s="85"/>
      <c r="C352" s="85"/>
      <c r="D352" s="85"/>
      <c r="E352" s="85"/>
      <c r="F352" s="85"/>
      <c r="G352" s="85"/>
      <c r="H352" s="86"/>
      <c r="I352" s="85"/>
    </row>
    <row r="353" spans="1:9" ht="15.75">
      <c r="A353" s="85"/>
      <c r="B353" s="85"/>
      <c r="C353" s="85"/>
      <c r="D353" s="85"/>
      <c r="E353" s="85"/>
      <c r="F353" s="85"/>
      <c r="G353" s="85"/>
      <c r="H353" s="86"/>
      <c r="I353" s="85"/>
    </row>
    <row r="354" spans="1:9" ht="15.75">
      <c r="A354" s="85"/>
      <c r="B354" s="85"/>
      <c r="C354" s="85"/>
      <c r="D354" s="85"/>
      <c r="E354" s="85"/>
      <c r="F354" s="85"/>
      <c r="G354" s="85"/>
      <c r="H354" s="86"/>
      <c r="I354" s="85"/>
    </row>
    <row r="355" spans="1:9" ht="15.75">
      <c r="A355" s="85"/>
      <c r="B355" s="85"/>
      <c r="C355" s="85"/>
      <c r="D355" s="85"/>
      <c r="E355" s="85"/>
      <c r="F355" s="85"/>
      <c r="G355" s="85"/>
      <c r="H355" s="86"/>
      <c r="I355" s="85"/>
    </row>
    <row r="356" spans="1:9" ht="15.75">
      <c r="A356" s="85"/>
      <c r="B356" s="85"/>
      <c r="C356" s="85"/>
      <c r="D356" s="85"/>
      <c r="E356" s="85"/>
      <c r="F356" s="85"/>
      <c r="G356" s="85"/>
      <c r="H356" s="86"/>
      <c r="I356" s="85"/>
    </row>
    <row r="357" spans="1:9" ht="15.75">
      <c r="A357" s="85"/>
      <c r="B357" s="85"/>
      <c r="C357" s="85"/>
      <c r="D357" s="85"/>
      <c r="E357" s="85"/>
      <c r="F357" s="85"/>
      <c r="G357" s="85"/>
      <c r="H357" s="86"/>
      <c r="I357" s="85"/>
    </row>
    <row r="358" spans="1:9" ht="15.75">
      <c r="A358" s="85"/>
      <c r="B358" s="85"/>
      <c r="C358" s="85"/>
      <c r="D358" s="85"/>
      <c r="E358" s="85"/>
      <c r="F358" s="85"/>
      <c r="G358" s="85"/>
      <c r="H358" s="86"/>
      <c r="I358" s="85"/>
    </row>
    <row r="359" spans="1:9" ht="15.75">
      <c r="A359" s="85"/>
      <c r="B359" s="85"/>
      <c r="C359" s="85"/>
      <c r="D359" s="85"/>
      <c r="E359" s="85"/>
      <c r="F359" s="85"/>
      <c r="G359" s="85"/>
      <c r="H359" s="86"/>
      <c r="I359" s="85"/>
    </row>
    <row r="360" spans="1:9" ht="15.75">
      <c r="A360" s="85"/>
      <c r="B360" s="85"/>
      <c r="C360" s="85"/>
      <c r="D360" s="85"/>
      <c r="E360" s="85"/>
      <c r="F360" s="85"/>
      <c r="G360" s="85"/>
      <c r="H360" s="86"/>
      <c r="I360" s="85"/>
    </row>
    <row r="361" spans="1:9" ht="15.75">
      <c r="A361" s="85"/>
      <c r="B361" s="85"/>
      <c r="C361" s="85"/>
      <c r="D361" s="85"/>
      <c r="E361" s="85"/>
      <c r="F361" s="85"/>
      <c r="G361" s="85"/>
      <c r="H361" s="86"/>
      <c r="I361" s="85"/>
    </row>
    <row r="362" spans="1:9" ht="15.75">
      <c r="A362" s="85"/>
      <c r="B362" s="85"/>
      <c r="C362" s="85"/>
      <c r="D362" s="85"/>
      <c r="E362" s="85"/>
      <c r="F362" s="85"/>
      <c r="G362" s="85"/>
      <c r="H362" s="86"/>
      <c r="I362" s="85"/>
    </row>
    <row r="363" spans="1:9" ht="15.75">
      <c r="A363" s="85"/>
      <c r="B363" s="85"/>
      <c r="C363" s="85"/>
      <c r="D363" s="85"/>
      <c r="E363" s="85"/>
      <c r="F363" s="85"/>
      <c r="G363" s="85"/>
      <c r="H363" s="86"/>
      <c r="I363" s="85"/>
    </row>
    <row r="364" spans="1:9" ht="15.75">
      <c r="A364" s="85"/>
      <c r="B364" s="85"/>
      <c r="C364" s="85"/>
      <c r="D364" s="85"/>
      <c r="E364" s="85"/>
      <c r="F364" s="85"/>
      <c r="G364" s="85"/>
      <c r="H364" s="86"/>
      <c r="I364" s="85"/>
    </row>
    <row r="365" spans="1:9" ht="15.75">
      <c r="A365" s="85"/>
      <c r="B365" s="85"/>
      <c r="C365" s="85"/>
      <c r="D365" s="85"/>
      <c r="E365" s="85"/>
      <c r="F365" s="85"/>
      <c r="G365" s="85"/>
      <c r="H365" s="86"/>
      <c r="I365" s="85"/>
    </row>
    <row r="366" spans="1:9" ht="15.75">
      <c r="A366" s="85"/>
      <c r="B366" s="85"/>
      <c r="C366" s="85"/>
      <c r="D366" s="85"/>
      <c r="E366" s="85"/>
      <c r="F366" s="85"/>
      <c r="G366" s="85"/>
      <c r="H366" s="86"/>
      <c r="I366" s="85"/>
    </row>
    <row r="367" spans="1:9" ht="15.75">
      <c r="A367" s="85"/>
      <c r="B367" s="85"/>
      <c r="C367" s="85"/>
      <c r="D367" s="85"/>
      <c r="E367" s="85"/>
      <c r="F367" s="85"/>
      <c r="G367" s="85"/>
      <c r="H367" s="86"/>
      <c r="I367" s="85"/>
    </row>
    <row r="368" spans="1:9" ht="15.75">
      <c r="A368" s="85"/>
      <c r="B368" s="85"/>
      <c r="C368" s="85"/>
      <c r="D368" s="85"/>
      <c r="E368" s="85"/>
      <c r="F368" s="85"/>
      <c r="G368" s="85"/>
      <c r="H368" s="86"/>
      <c r="I368" s="85"/>
    </row>
    <row r="369" spans="1:9" ht="15.75">
      <c r="A369" s="85"/>
      <c r="B369" s="85"/>
      <c r="C369" s="85"/>
      <c r="D369" s="85"/>
      <c r="E369" s="85"/>
      <c r="F369" s="85"/>
      <c r="G369" s="85"/>
      <c r="H369" s="86"/>
      <c r="I369" s="85"/>
    </row>
    <row r="370" spans="1:9" ht="15.75">
      <c r="A370" s="85"/>
      <c r="B370" s="85"/>
      <c r="C370" s="85"/>
      <c r="D370" s="85"/>
      <c r="E370" s="85"/>
      <c r="F370" s="85"/>
      <c r="G370" s="85"/>
      <c r="H370" s="86"/>
      <c r="I370" s="85"/>
    </row>
    <row r="371" spans="1:9" ht="15.75">
      <c r="A371" s="85"/>
      <c r="B371" s="85"/>
      <c r="C371" s="85"/>
      <c r="D371" s="85"/>
      <c r="E371" s="85"/>
      <c r="F371" s="85"/>
      <c r="G371" s="85"/>
      <c r="H371" s="86"/>
      <c r="I371" s="85"/>
    </row>
    <row r="372" spans="1:9" ht="15.75">
      <c r="A372" s="85"/>
      <c r="B372" s="85"/>
      <c r="C372" s="85"/>
      <c r="D372" s="85"/>
      <c r="E372" s="85"/>
      <c r="F372" s="85"/>
      <c r="G372" s="85"/>
      <c r="H372" s="86"/>
      <c r="I372" s="85"/>
    </row>
    <row r="373" spans="1:9" ht="15.75">
      <c r="A373" s="85"/>
      <c r="B373" s="85"/>
      <c r="C373" s="85"/>
      <c r="D373" s="85"/>
      <c r="E373" s="85"/>
      <c r="F373" s="85"/>
      <c r="G373" s="85"/>
      <c r="H373" s="86"/>
      <c r="I373" s="85"/>
    </row>
    <row r="374" spans="1:9" ht="15.75">
      <c r="A374" s="85"/>
      <c r="B374" s="85"/>
      <c r="C374" s="85"/>
      <c r="D374" s="85"/>
      <c r="E374" s="85"/>
      <c r="F374" s="85"/>
      <c r="G374" s="85"/>
      <c r="H374" s="86"/>
      <c r="I374" s="85"/>
    </row>
    <row r="375" spans="1:9" ht="15.75">
      <c r="A375" s="85"/>
      <c r="B375" s="85"/>
      <c r="C375" s="85"/>
      <c r="D375" s="85"/>
      <c r="E375" s="85"/>
      <c r="F375" s="85"/>
      <c r="G375" s="85"/>
      <c r="H375" s="86"/>
      <c r="I375" s="85"/>
    </row>
    <row r="376" spans="1:9" ht="15.75">
      <c r="A376" s="85"/>
      <c r="B376" s="85"/>
      <c r="C376" s="85"/>
      <c r="D376" s="85"/>
      <c r="E376" s="85"/>
      <c r="F376" s="85"/>
      <c r="G376" s="85"/>
      <c r="H376" s="86"/>
      <c r="I376" s="85"/>
    </row>
    <row r="377" spans="1:9" ht="15.75">
      <c r="A377" s="85"/>
      <c r="B377" s="85"/>
      <c r="C377" s="85"/>
      <c r="D377" s="85"/>
      <c r="E377" s="85"/>
      <c r="F377" s="85"/>
      <c r="G377" s="85"/>
      <c r="H377" s="86"/>
      <c r="I377" s="85"/>
    </row>
    <row r="378" spans="1:9" ht="15.75">
      <c r="A378" s="85"/>
      <c r="B378" s="85"/>
      <c r="C378" s="85"/>
      <c r="D378" s="85"/>
      <c r="E378" s="85"/>
      <c r="F378" s="85"/>
      <c r="G378" s="85"/>
      <c r="H378" s="86"/>
      <c r="I378" s="85"/>
    </row>
    <row r="379" spans="1:9" ht="15.75">
      <c r="A379" s="85"/>
      <c r="B379" s="85"/>
      <c r="C379" s="85"/>
      <c r="D379" s="85"/>
      <c r="E379" s="85"/>
      <c r="F379" s="85"/>
      <c r="G379" s="85"/>
      <c r="H379" s="86"/>
      <c r="I379" s="85"/>
    </row>
    <row r="380" spans="1:9" ht="15.75">
      <c r="A380" s="85"/>
      <c r="B380" s="85"/>
      <c r="C380" s="85"/>
      <c r="D380" s="85"/>
      <c r="E380" s="85"/>
      <c r="F380" s="85"/>
      <c r="G380" s="85"/>
      <c r="H380" s="86"/>
      <c r="I380" s="85"/>
    </row>
    <row r="381" spans="1:9" ht="15.75">
      <c r="A381" s="85"/>
      <c r="B381" s="85"/>
      <c r="C381" s="85"/>
      <c r="D381" s="85"/>
      <c r="E381" s="85"/>
      <c r="F381" s="85"/>
      <c r="G381" s="85"/>
      <c r="H381" s="86"/>
      <c r="I381" s="85"/>
    </row>
    <row r="382" spans="1:9" ht="15.75">
      <c r="A382" s="85"/>
      <c r="B382" s="85"/>
      <c r="C382" s="85"/>
      <c r="D382" s="85"/>
      <c r="E382" s="85"/>
      <c r="F382" s="85"/>
      <c r="G382" s="85"/>
      <c r="H382" s="86"/>
      <c r="I382" s="85"/>
    </row>
    <row r="383" spans="1:9" ht="15.75">
      <c r="A383" s="85"/>
      <c r="B383" s="85"/>
      <c r="C383" s="85"/>
      <c r="D383" s="85"/>
      <c r="E383" s="85"/>
      <c r="F383" s="85"/>
      <c r="G383" s="85"/>
      <c r="H383" s="86"/>
      <c r="I383" s="85"/>
    </row>
    <row r="384" spans="1:9" ht="15.75">
      <c r="A384" s="85"/>
      <c r="B384" s="85"/>
      <c r="C384" s="85"/>
      <c r="D384" s="85"/>
      <c r="E384" s="85"/>
      <c r="F384" s="85"/>
      <c r="G384" s="85"/>
      <c r="H384" s="86"/>
      <c r="I384" s="85"/>
    </row>
    <row r="385" spans="1:9" ht="15.75">
      <c r="A385" s="85"/>
      <c r="B385" s="85"/>
      <c r="C385" s="85"/>
      <c r="D385" s="85"/>
      <c r="E385" s="85"/>
      <c r="F385" s="85"/>
      <c r="G385" s="85"/>
      <c r="H385" s="86"/>
      <c r="I385" s="85"/>
    </row>
    <row r="386" spans="1:9" ht="15.75">
      <c r="A386" s="85"/>
      <c r="B386" s="85"/>
      <c r="C386" s="85"/>
      <c r="D386" s="85"/>
      <c r="E386" s="85"/>
      <c r="F386" s="85"/>
      <c r="G386" s="85"/>
      <c r="H386" s="86"/>
      <c r="I386" s="85"/>
    </row>
    <row r="387" spans="1:9" ht="15.75">
      <c r="A387" s="85"/>
      <c r="B387" s="85"/>
      <c r="C387" s="85"/>
      <c r="D387" s="85"/>
      <c r="E387" s="85"/>
      <c r="F387" s="85"/>
      <c r="G387" s="85"/>
      <c r="H387" s="86"/>
      <c r="I387" s="85"/>
    </row>
    <row r="388" spans="1:9" ht="15.75">
      <c r="A388" s="85"/>
      <c r="B388" s="85"/>
      <c r="C388" s="85"/>
      <c r="D388" s="85"/>
      <c r="E388" s="85"/>
      <c r="F388" s="85"/>
      <c r="G388" s="85"/>
      <c r="H388" s="86"/>
      <c r="I388" s="85"/>
    </row>
    <row r="389" spans="1:9" ht="15.75">
      <c r="A389" s="85"/>
      <c r="B389" s="85"/>
      <c r="C389" s="85"/>
      <c r="D389" s="85"/>
      <c r="E389" s="85"/>
      <c r="F389" s="85"/>
      <c r="G389" s="85"/>
      <c r="H389" s="86"/>
      <c r="I389" s="85"/>
    </row>
    <row r="390" spans="1:9" ht="15.75">
      <c r="A390" s="85"/>
      <c r="B390" s="85"/>
      <c r="C390" s="85"/>
      <c r="D390" s="85"/>
      <c r="E390" s="85"/>
      <c r="F390" s="85"/>
      <c r="G390" s="85"/>
      <c r="H390" s="86"/>
      <c r="I390" s="85"/>
    </row>
    <row r="391" spans="1:9" ht="15.75">
      <c r="A391" s="85"/>
      <c r="B391" s="85"/>
      <c r="C391" s="85"/>
      <c r="D391" s="85"/>
      <c r="E391" s="85"/>
      <c r="F391" s="85"/>
      <c r="G391" s="85"/>
      <c r="H391" s="86"/>
      <c r="I391" s="85"/>
    </row>
    <row r="392" spans="1:9" ht="15.75">
      <c r="A392" s="85"/>
      <c r="B392" s="85"/>
      <c r="C392" s="85"/>
      <c r="D392" s="85"/>
      <c r="E392" s="85"/>
      <c r="F392" s="85"/>
      <c r="G392" s="85"/>
      <c r="H392" s="86"/>
      <c r="I392" s="85"/>
    </row>
    <row r="393" spans="1:9" ht="15.75">
      <c r="A393" s="85"/>
      <c r="B393" s="85"/>
      <c r="C393" s="85"/>
      <c r="D393" s="85"/>
      <c r="E393" s="85"/>
      <c r="F393" s="85"/>
      <c r="G393" s="85"/>
      <c r="H393" s="86"/>
      <c r="I393" s="85"/>
    </row>
    <row r="394" spans="1:9" ht="15.75">
      <c r="A394" s="85"/>
      <c r="B394" s="85"/>
      <c r="C394" s="85"/>
      <c r="D394" s="85"/>
      <c r="E394" s="85"/>
      <c r="F394" s="85"/>
      <c r="G394" s="85"/>
      <c r="H394" s="86"/>
      <c r="I394" s="85"/>
    </row>
    <row r="395" spans="1:9" ht="15.75">
      <c r="A395" s="85"/>
      <c r="B395" s="85"/>
      <c r="C395" s="85"/>
      <c r="D395" s="85"/>
      <c r="E395" s="85"/>
      <c r="F395" s="85"/>
      <c r="G395" s="85"/>
      <c r="H395" s="86"/>
      <c r="I395" s="85"/>
    </row>
    <row r="396" spans="1:9" ht="15.75">
      <c r="A396" s="85"/>
      <c r="B396" s="85"/>
      <c r="C396" s="85"/>
      <c r="D396" s="85"/>
      <c r="E396" s="85"/>
      <c r="F396" s="85"/>
      <c r="G396" s="85"/>
      <c r="H396" s="86"/>
      <c r="I396" s="85"/>
    </row>
    <row r="397" spans="1:9" ht="15.75">
      <c r="A397" s="85"/>
      <c r="B397" s="85"/>
      <c r="C397" s="85"/>
      <c r="D397" s="85"/>
      <c r="E397" s="85"/>
      <c r="F397" s="85"/>
      <c r="G397" s="85"/>
      <c r="H397" s="86"/>
      <c r="I397" s="85"/>
    </row>
    <row r="398" spans="1:9" ht="15.75">
      <c r="A398" s="85"/>
      <c r="B398" s="85"/>
      <c r="C398" s="85"/>
      <c r="D398" s="85"/>
      <c r="E398" s="85"/>
      <c r="F398" s="85"/>
      <c r="G398" s="85"/>
      <c r="H398" s="86"/>
      <c r="I398" s="85"/>
    </row>
    <row r="399" spans="1:9" ht="15.75">
      <c r="A399" s="85"/>
      <c r="B399" s="85"/>
      <c r="C399" s="85"/>
      <c r="D399" s="85"/>
      <c r="E399" s="85"/>
      <c r="F399" s="85"/>
      <c r="G399" s="85"/>
      <c r="H399" s="86"/>
      <c r="I399" s="85"/>
    </row>
    <row r="400" spans="1:9" ht="15.75">
      <c r="A400" s="85"/>
      <c r="B400" s="85"/>
      <c r="C400" s="85"/>
      <c r="D400" s="85"/>
      <c r="E400" s="85"/>
      <c r="F400" s="85"/>
      <c r="G400" s="85"/>
      <c r="H400" s="86"/>
      <c r="I400" s="85"/>
    </row>
    <row r="401" spans="1:9" ht="15.75">
      <c r="A401" s="85"/>
      <c r="B401" s="85"/>
      <c r="C401" s="85"/>
      <c r="D401" s="85"/>
      <c r="E401" s="85"/>
      <c r="F401" s="85"/>
      <c r="G401" s="85"/>
      <c r="H401" s="86"/>
      <c r="I401" s="85"/>
    </row>
    <row r="402" spans="1:9" ht="15.75">
      <c r="A402" s="85"/>
      <c r="B402" s="85"/>
      <c r="C402" s="85"/>
      <c r="D402" s="85"/>
      <c r="E402" s="85"/>
      <c r="F402" s="85"/>
      <c r="G402" s="85"/>
      <c r="H402" s="86"/>
      <c r="I402" s="85"/>
    </row>
    <row r="403" spans="1:9" ht="15.75">
      <c r="A403" s="85"/>
      <c r="B403" s="85"/>
      <c r="C403" s="85"/>
      <c r="D403" s="85"/>
      <c r="E403" s="85"/>
      <c r="F403" s="85"/>
      <c r="G403" s="85"/>
      <c r="H403" s="86"/>
      <c r="I403" s="85"/>
    </row>
    <row r="404" spans="1:9" ht="15.75">
      <c r="A404" s="85"/>
      <c r="B404" s="85"/>
      <c r="C404" s="85"/>
      <c r="D404" s="85"/>
      <c r="E404" s="85"/>
      <c r="F404" s="85"/>
      <c r="G404" s="85"/>
      <c r="H404" s="86"/>
      <c r="I404" s="85"/>
    </row>
    <row r="405" spans="1:9" ht="15.75">
      <c r="A405" s="85"/>
      <c r="B405" s="85"/>
      <c r="C405" s="85"/>
      <c r="D405" s="85"/>
      <c r="E405" s="85"/>
      <c r="F405" s="85"/>
      <c r="G405" s="85"/>
      <c r="H405" s="86"/>
      <c r="I405" s="85"/>
    </row>
    <row r="406" spans="1:9" ht="15.75">
      <c r="A406" s="85"/>
      <c r="B406" s="85"/>
      <c r="C406" s="85"/>
      <c r="D406" s="85"/>
      <c r="E406" s="85"/>
      <c r="F406" s="85"/>
      <c r="G406" s="85"/>
      <c r="H406" s="86"/>
      <c r="I406" s="85"/>
    </row>
    <row r="407" spans="1:9" ht="15.75">
      <c r="A407" s="85"/>
      <c r="B407" s="85"/>
      <c r="C407" s="85"/>
      <c r="D407" s="85"/>
      <c r="E407" s="85"/>
      <c r="F407" s="85"/>
      <c r="G407" s="85"/>
      <c r="H407" s="86"/>
      <c r="I407" s="85"/>
    </row>
    <row r="408" spans="1:9" ht="15.75">
      <c r="A408" s="85"/>
      <c r="B408" s="85"/>
      <c r="C408" s="85"/>
      <c r="D408" s="85"/>
      <c r="E408" s="85"/>
      <c r="F408" s="85"/>
      <c r="G408" s="85"/>
      <c r="H408" s="86"/>
      <c r="I408" s="85"/>
    </row>
    <row r="409" spans="1:9" ht="15.75">
      <c r="A409" s="85"/>
      <c r="B409" s="85"/>
      <c r="C409" s="85"/>
      <c r="D409" s="85"/>
      <c r="E409" s="85"/>
      <c r="F409" s="85"/>
      <c r="G409" s="85"/>
      <c r="H409" s="86"/>
      <c r="I409" s="85"/>
    </row>
    <row r="410" spans="1:9" ht="15.75">
      <c r="A410" s="85"/>
      <c r="B410" s="85"/>
      <c r="C410" s="85"/>
      <c r="D410" s="85"/>
      <c r="E410" s="85"/>
      <c r="F410" s="85"/>
      <c r="G410" s="85"/>
      <c r="H410" s="86"/>
      <c r="I410" s="85"/>
    </row>
    <row r="411" spans="1:9" ht="15.75">
      <c r="A411" s="85"/>
      <c r="B411" s="85"/>
      <c r="C411" s="85"/>
      <c r="D411" s="85"/>
      <c r="E411" s="85"/>
      <c r="F411" s="85"/>
      <c r="G411" s="85"/>
      <c r="H411" s="86"/>
      <c r="I411" s="85"/>
    </row>
    <row r="412" spans="1:9" ht="15.75">
      <c r="A412" s="85"/>
      <c r="B412" s="85"/>
      <c r="C412" s="85"/>
      <c r="D412" s="85"/>
      <c r="E412" s="85"/>
      <c r="F412" s="85"/>
      <c r="G412" s="85"/>
      <c r="H412" s="86"/>
      <c r="I412" s="85"/>
    </row>
    <row r="413" spans="1:9" ht="15.75">
      <c r="A413" s="85"/>
      <c r="B413" s="85"/>
      <c r="C413" s="85"/>
      <c r="D413" s="85"/>
      <c r="E413" s="85"/>
      <c r="F413" s="85"/>
      <c r="G413" s="85"/>
      <c r="H413" s="86"/>
      <c r="I413" s="85"/>
    </row>
    <row r="414" spans="1:9" ht="15.75">
      <c r="A414" s="85"/>
      <c r="B414" s="85"/>
      <c r="C414" s="85"/>
      <c r="D414" s="85"/>
      <c r="E414" s="85"/>
      <c r="F414" s="85"/>
      <c r="G414" s="85"/>
      <c r="H414" s="86"/>
      <c r="I414" s="85"/>
    </row>
    <row r="415" spans="1:9" ht="15.75">
      <c r="A415" s="85"/>
      <c r="B415" s="85"/>
      <c r="C415" s="85"/>
      <c r="D415" s="85"/>
      <c r="E415" s="85"/>
      <c r="F415" s="85"/>
      <c r="G415" s="85"/>
      <c r="H415" s="86"/>
      <c r="I415" s="85"/>
    </row>
    <row r="416" spans="1:9" ht="15.75">
      <c r="A416" s="85"/>
      <c r="B416" s="85"/>
      <c r="C416" s="85"/>
      <c r="D416" s="85"/>
      <c r="E416" s="85"/>
      <c r="F416" s="85"/>
      <c r="G416" s="85"/>
      <c r="H416" s="86"/>
      <c r="I416" s="85"/>
    </row>
    <row r="417" spans="1:9" ht="15.75">
      <c r="A417" s="85"/>
      <c r="B417" s="85"/>
      <c r="C417" s="85"/>
      <c r="D417" s="85"/>
      <c r="E417" s="85"/>
      <c r="F417" s="85"/>
      <c r="G417" s="85"/>
      <c r="H417" s="86"/>
      <c r="I417" s="85"/>
    </row>
    <row r="418" spans="1:9" ht="15.75">
      <c r="A418" s="85"/>
      <c r="B418" s="85"/>
      <c r="C418" s="85"/>
      <c r="D418" s="85"/>
      <c r="E418" s="85"/>
      <c r="F418" s="85"/>
      <c r="G418" s="85"/>
      <c r="H418" s="86"/>
      <c r="I418" s="85"/>
    </row>
    <row r="419" spans="1:9" ht="15.75">
      <c r="A419" s="85"/>
      <c r="B419" s="85"/>
      <c r="C419" s="85"/>
      <c r="D419" s="85"/>
      <c r="E419" s="85"/>
      <c r="F419" s="85"/>
      <c r="G419" s="85"/>
      <c r="H419" s="86"/>
      <c r="I419" s="85"/>
    </row>
    <row r="420" spans="1:9" ht="15.75">
      <c r="A420" s="85"/>
      <c r="B420" s="85"/>
      <c r="C420" s="85"/>
      <c r="D420" s="85"/>
      <c r="E420" s="85"/>
      <c r="F420" s="85"/>
      <c r="G420" s="85"/>
      <c r="H420" s="86"/>
      <c r="I420" s="85"/>
    </row>
    <row r="421" spans="1:9" ht="15.75">
      <c r="A421" s="85"/>
      <c r="B421" s="85"/>
      <c r="C421" s="85"/>
      <c r="D421" s="85"/>
      <c r="E421" s="85"/>
      <c r="F421" s="85"/>
      <c r="G421" s="85"/>
      <c r="H421" s="86"/>
      <c r="I421" s="85"/>
    </row>
    <row r="422" spans="1:9" ht="15.75">
      <c r="A422" s="85"/>
      <c r="B422" s="85"/>
      <c r="C422" s="85"/>
      <c r="D422" s="85"/>
      <c r="E422" s="85"/>
      <c r="F422" s="85"/>
      <c r="G422" s="85"/>
      <c r="H422" s="86"/>
      <c r="I422" s="85"/>
    </row>
    <row r="423" spans="1:9" ht="15.75">
      <c r="A423" s="85"/>
      <c r="B423" s="85"/>
      <c r="C423" s="85"/>
      <c r="D423" s="85"/>
      <c r="E423" s="85"/>
      <c r="F423" s="85"/>
      <c r="G423" s="85"/>
      <c r="H423" s="86"/>
      <c r="I423" s="85"/>
    </row>
    <row r="424" spans="1:9" ht="15.75">
      <c r="A424" s="85"/>
      <c r="B424" s="85"/>
      <c r="C424" s="85"/>
      <c r="D424" s="85"/>
      <c r="E424" s="85"/>
      <c r="F424" s="85"/>
      <c r="G424" s="85"/>
      <c r="H424" s="86"/>
      <c r="I424" s="85"/>
    </row>
    <row r="425" spans="1:9" ht="15.75">
      <c r="A425" s="85"/>
      <c r="B425" s="85"/>
      <c r="C425" s="85"/>
      <c r="D425" s="85"/>
      <c r="E425" s="85"/>
      <c r="F425" s="85"/>
      <c r="G425" s="85"/>
      <c r="H425" s="86"/>
      <c r="I425" s="85"/>
    </row>
    <row r="426" spans="1:9" ht="15.75">
      <c r="A426" s="85"/>
      <c r="B426" s="85"/>
      <c r="C426" s="85"/>
      <c r="D426" s="85"/>
      <c r="E426" s="85"/>
      <c r="F426" s="85"/>
      <c r="G426" s="85"/>
      <c r="H426" s="86"/>
      <c r="I426" s="85"/>
    </row>
    <row r="427" spans="1:9" ht="15.75">
      <c r="A427" s="85"/>
      <c r="B427" s="85"/>
      <c r="C427" s="85"/>
      <c r="D427" s="85"/>
      <c r="E427" s="85"/>
      <c r="F427" s="85"/>
      <c r="G427" s="85"/>
      <c r="H427" s="86"/>
      <c r="I427" s="85"/>
    </row>
    <row r="428" spans="1:9" ht="15.75">
      <c r="A428" s="85"/>
      <c r="B428" s="85"/>
      <c r="C428" s="85"/>
      <c r="D428" s="85"/>
      <c r="E428" s="85"/>
      <c r="F428" s="85"/>
      <c r="G428" s="85"/>
      <c r="H428" s="86"/>
      <c r="I428" s="85"/>
    </row>
    <row r="429" spans="1:9" ht="15.75">
      <c r="A429" s="85"/>
      <c r="B429" s="85"/>
      <c r="C429" s="85"/>
      <c r="D429" s="85"/>
      <c r="E429" s="85"/>
      <c r="F429" s="85"/>
      <c r="G429" s="85"/>
      <c r="H429" s="86"/>
      <c r="I429" s="85"/>
    </row>
    <row r="430" spans="1:9" ht="15.75">
      <c r="A430" s="85"/>
      <c r="B430" s="85"/>
      <c r="C430" s="85"/>
      <c r="D430" s="85"/>
      <c r="E430" s="85"/>
      <c r="F430" s="85"/>
      <c r="G430" s="85"/>
      <c r="H430" s="86"/>
      <c r="I430" s="85"/>
    </row>
    <row r="431" spans="1:9" ht="15.75">
      <c r="A431" s="85"/>
      <c r="B431" s="85"/>
      <c r="C431" s="85"/>
      <c r="D431" s="85"/>
      <c r="E431" s="85"/>
      <c r="F431" s="85"/>
      <c r="G431" s="85"/>
      <c r="H431" s="86"/>
      <c r="I431" s="85"/>
    </row>
    <row r="432" spans="1:9" ht="15.75">
      <c r="A432" s="85"/>
      <c r="B432" s="85"/>
      <c r="C432" s="85"/>
      <c r="D432" s="85"/>
      <c r="E432" s="85"/>
      <c r="F432" s="85"/>
      <c r="G432" s="85"/>
      <c r="H432" s="86"/>
      <c r="I432" s="85"/>
    </row>
    <row r="433" spans="1:9" ht="15.75">
      <c r="A433" s="85"/>
      <c r="B433" s="85"/>
      <c r="C433" s="85"/>
      <c r="D433" s="85"/>
      <c r="E433" s="85"/>
      <c r="F433" s="85"/>
      <c r="G433" s="85"/>
      <c r="H433" s="86"/>
      <c r="I433" s="85"/>
    </row>
    <row r="434" spans="1:9" ht="15.75">
      <c r="A434" s="85"/>
      <c r="B434" s="85"/>
      <c r="C434" s="85"/>
      <c r="D434" s="85"/>
      <c r="E434" s="85"/>
      <c r="F434" s="85"/>
      <c r="G434" s="85"/>
      <c r="H434" s="86"/>
      <c r="I434" s="85"/>
    </row>
    <row r="435" spans="1:9" ht="15.75">
      <c r="A435" s="85"/>
      <c r="B435" s="85"/>
      <c r="C435" s="85"/>
      <c r="D435" s="85"/>
      <c r="E435" s="85"/>
      <c r="F435" s="85"/>
      <c r="G435" s="85"/>
      <c r="H435" s="86"/>
      <c r="I435" s="85"/>
    </row>
    <row r="436" spans="1:9" ht="15.75">
      <c r="A436" s="85"/>
      <c r="B436" s="85"/>
      <c r="C436" s="85"/>
      <c r="D436" s="85"/>
      <c r="E436" s="85"/>
      <c r="F436" s="85"/>
      <c r="G436" s="85"/>
      <c r="H436" s="86"/>
      <c r="I436" s="85"/>
    </row>
    <row r="437" spans="1:9" ht="15.75">
      <c r="A437" s="85"/>
      <c r="B437" s="85"/>
      <c r="C437" s="85"/>
      <c r="D437" s="85"/>
      <c r="E437" s="85"/>
      <c r="F437" s="85"/>
      <c r="G437" s="85"/>
      <c r="H437" s="86"/>
      <c r="I437" s="85"/>
    </row>
    <row r="438" spans="1:9" ht="15.75">
      <c r="A438" s="85"/>
      <c r="B438" s="85"/>
      <c r="C438" s="85"/>
      <c r="D438" s="85"/>
      <c r="E438" s="85"/>
      <c r="F438" s="85"/>
      <c r="G438" s="85"/>
      <c r="H438" s="86"/>
      <c r="I438" s="85"/>
    </row>
    <row r="439" spans="1:9" ht="15.75">
      <c r="A439" s="85"/>
      <c r="B439" s="85"/>
      <c r="C439" s="85"/>
      <c r="D439" s="85"/>
      <c r="E439" s="85"/>
      <c r="F439" s="85"/>
      <c r="G439" s="85"/>
      <c r="H439" s="86"/>
      <c r="I439" s="85"/>
    </row>
    <row r="440" spans="1:9" ht="15.75">
      <c r="A440" s="85"/>
      <c r="B440" s="85"/>
      <c r="C440" s="85"/>
      <c r="D440" s="85"/>
      <c r="E440" s="85"/>
      <c r="F440" s="85"/>
      <c r="G440" s="85"/>
      <c r="H440" s="86"/>
      <c r="I440" s="85"/>
    </row>
    <row r="441" spans="1:9" ht="15.75">
      <c r="A441" s="85"/>
      <c r="B441" s="85"/>
      <c r="C441" s="85"/>
      <c r="D441" s="85"/>
      <c r="E441" s="85"/>
      <c r="F441" s="85"/>
      <c r="G441" s="85"/>
      <c r="H441" s="86"/>
      <c r="I441" s="85"/>
    </row>
    <row r="442" spans="1:9" ht="15.75">
      <c r="A442" s="85"/>
      <c r="B442" s="85"/>
      <c r="C442" s="85"/>
      <c r="D442" s="85"/>
      <c r="E442" s="85"/>
      <c r="F442" s="85"/>
      <c r="G442" s="85"/>
      <c r="H442" s="86"/>
      <c r="I442" s="85"/>
    </row>
    <row r="443" spans="1:9" ht="15.75">
      <c r="A443" s="85"/>
      <c r="B443" s="85"/>
      <c r="C443" s="85"/>
      <c r="D443" s="85"/>
      <c r="E443" s="85"/>
      <c r="F443" s="85"/>
      <c r="G443" s="85"/>
      <c r="H443" s="86"/>
      <c r="I443" s="85"/>
    </row>
    <row r="444" spans="1:9" ht="15.75">
      <c r="A444" s="85"/>
      <c r="B444" s="85"/>
      <c r="C444" s="85"/>
      <c r="D444" s="85"/>
      <c r="E444" s="85"/>
      <c r="F444" s="85"/>
      <c r="G444" s="85"/>
      <c r="H444" s="86"/>
      <c r="I444" s="85"/>
    </row>
    <row r="445" spans="1:9" ht="15.75">
      <c r="A445" s="85"/>
      <c r="B445" s="85"/>
      <c r="C445" s="85"/>
      <c r="D445" s="85"/>
      <c r="E445" s="85"/>
      <c r="F445" s="85"/>
      <c r="G445" s="85"/>
      <c r="H445" s="86"/>
      <c r="I445" s="85"/>
    </row>
    <row r="446" spans="1:9" ht="15.75">
      <c r="A446" s="85"/>
      <c r="B446" s="85"/>
      <c r="C446" s="85"/>
      <c r="D446" s="85"/>
      <c r="E446" s="85"/>
      <c r="F446" s="85"/>
      <c r="G446" s="85"/>
      <c r="H446" s="86"/>
      <c r="I446" s="85"/>
    </row>
    <row r="447" spans="1:9" ht="15.75">
      <c r="A447" s="85"/>
      <c r="B447" s="85"/>
      <c r="C447" s="85"/>
      <c r="D447" s="85"/>
      <c r="E447" s="85"/>
      <c r="F447" s="85"/>
      <c r="G447" s="85"/>
      <c r="H447" s="86"/>
      <c r="I447" s="85"/>
    </row>
    <row r="448" spans="1:9" ht="15.75">
      <c r="A448" s="85"/>
      <c r="B448" s="85"/>
      <c r="C448" s="85"/>
      <c r="D448" s="85"/>
      <c r="E448" s="85"/>
      <c r="F448" s="85"/>
      <c r="G448" s="85"/>
      <c r="H448" s="86"/>
      <c r="I448" s="85"/>
    </row>
    <row r="449" spans="1:9" ht="15.75">
      <c r="A449" s="85"/>
      <c r="B449" s="85"/>
      <c r="C449" s="85"/>
      <c r="D449" s="85"/>
      <c r="E449" s="85"/>
      <c r="F449" s="85"/>
      <c r="G449" s="85"/>
      <c r="H449" s="86"/>
      <c r="I449" s="85"/>
    </row>
    <row r="450" spans="1:9" ht="15.75">
      <c r="A450" s="85"/>
      <c r="B450" s="85"/>
      <c r="C450" s="85"/>
      <c r="D450" s="85"/>
      <c r="E450" s="85"/>
      <c r="F450" s="85"/>
      <c r="G450" s="85"/>
      <c r="H450" s="86"/>
      <c r="I450" s="85"/>
    </row>
    <row r="451" spans="1:9" ht="15.75">
      <c r="A451" s="85"/>
      <c r="B451" s="85"/>
      <c r="C451" s="85"/>
      <c r="D451" s="85"/>
      <c r="E451" s="85"/>
      <c r="F451" s="85"/>
      <c r="G451" s="85"/>
      <c r="H451" s="86"/>
      <c r="I451" s="85"/>
    </row>
    <row r="452" spans="1:9" ht="15.75">
      <c r="A452" s="85"/>
      <c r="B452" s="85"/>
      <c r="C452" s="85"/>
      <c r="D452" s="85"/>
      <c r="E452" s="85"/>
      <c r="F452" s="85"/>
      <c r="G452" s="85"/>
      <c r="H452" s="86"/>
      <c r="I452" s="85"/>
    </row>
    <row r="453" spans="1:9" ht="15.75">
      <c r="A453" s="85"/>
      <c r="B453" s="85"/>
      <c r="C453" s="85"/>
      <c r="D453" s="85"/>
      <c r="E453" s="85"/>
      <c r="F453" s="85"/>
      <c r="G453" s="85"/>
      <c r="H453" s="86"/>
      <c r="I453" s="85"/>
    </row>
    <row r="454" spans="1:9" ht="15.75">
      <c r="A454" s="85"/>
      <c r="B454" s="85"/>
      <c r="C454" s="85"/>
      <c r="D454" s="85"/>
      <c r="E454" s="85"/>
      <c r="F454" s="85"/>
      <c r="G454" s="85"/>
      <c r="H454" s="86"/>
      <c r="I454" s="85"/>
    </row>
    <row r="455" spans="1:9" ht="15.75">
      <c r="A455" s="85"/>
      <c r="B455" s="85"/>
      <c r="C455" s="85"/>
      <c r="D455" s="85"/>
      <c r="E455" s="85"/>
      <c r="F455" s="85"/>
      <c r="G455" s="85"/>
      <c r="H455" s="86"/>
      <c r="I455" s="85"/>
    </row>
    <row r="456" spans="1:9" ht="15.75">
      <c r="A456" s="85"/>
      <c r="B456" s="85"/>
      <c r="C456" s="85"/>
      <c r="D456" s="85"/>
      <c r="E456" s="85"/>
      <c r="F456" s="85"/>
      <c r="G456" s="85"/>
      <c r="H456" s="86"/>
      <c r="I456" s="85"/>
    </row>
    <row r="457" spans="1:9" ht="15.75">
      <c r="A457" s="85"/>
      <c r="B457" s="85"/>
      <c r="C457" s="85"/>
      <c r="D457" s="85"/>
      <c r="E457" s="85"/>
      <c r="F457" s="85"/>
      <c r="G457" s="85"/>
      <c r="H457" s="86"/>
      <c r="I457" s="85"/>
    </row>
    <row r="458" spans="1:9" ht="15.75">
      <c r="A458" s="85"/>
      <c r="B458" s="85"/>
      <c r="C458" s="85"/>
      <c r="D458" s="85"/>
      <c r="E458" s="85"/>
      <c r="F458" s="85"/>
      <c r="G458" s="85"/>
      <c r="H458" s="86"/>
      <c r="I458" s="85"/>
    </row>
    <row r="459" spans="1:9" ht="15.75">
      <c r="A459" s="85"/>
      <c r="B459" s="85"/>
      <c r="C459" s="85"/>
      <c r="D459" s="85"/>
      <c r="E459" s="85"/>
      <c r="F459" s="85"/>
      <c r="G459" s="85"/>
      <c r="H459" s="86"/>
      <c r="I459" s="85"/>
    </row>
    <row r="460" spans="1:9" ht="15.75">
      <c r="A460" s="85"/>
      <c r="B460" s="85"/>
      <c r="C460" s="85"/>
      <c r="D460" s="85"/>
      <c r="E460" s="85"/>
      <c r="F460" s="85"/>
      <c r="G460" s="85"/>
      <c r="H460" s="86"/>
      <c r="I460" s="85"/>
    </row>
    <row r="461" spans="1:9" ht="15.75">
      <c r="A461" s="85"/>
      <c r="B461" s="85"/>
      <c r="C461" s="85"/>
      <c r="D461" s="85"/>
      <c r="E461" s="85"/>
      <c r="F461" s="85"/>
      <c r="G461" s="85"/>
      <c r="H461" s="86"/>
      <c r="I461" s="85"/>
    </row>
    <row r="462" spans="1:9" ht="15.75">
      <c r="A462" s="85"/>
      <c r="B462" s="85"/>
      <c r="C462" s="85"/>
      <c r="D462" s="85"/>
      <c r="E462" s="85"/>
      <c r="F462" s="85"/>
      <c r="G462" s="85"/>
      <c r="H462" s="86"/>
      <c r="I462" s="85"/>
    </row>
    <row r="463" spans="1:9" ht="15.75">
      <c r="A463" s="85"/>
      <c r="B463" s="85"/>
      <c r="C463" s="85"/>
      <c r="D463" s="85"/>
      <c r="E463" s="85"/>
      <c r="F463" s="85"/>
      <c r="G463" s="85"/>
      <c r="H463" s="86"/>
      <c r="I463" s="85"/>
    </row>
    <row r="464" spans="1:9" ht="15.75">
      <c r="A464" s="85"/>
      <c r="B464" s="85"/>
      <c r="C464" s="85"/>
      <c r="D464" s="85"/>
      <c r="E464" s="85"/>
      <c r="F464" s="85"/>
      <c r="G464" s="85"/>
      <c r="H464" s="86"/>
      <c r="I464" s="85"/>
    </row>
    <row r="465" spans="1:9" ht="15.75">
      <c r="A465" s="85"/>
      <c r="B465" s="85"/>
      <c r="C465" s="85"/>
      <c r="D465" s="85"/>
      <c r="E465" s="85"/>
      <c r="F465" s="85"/>
      <c r="G465" s="85"/>
      <c r="H465" s="86"/>
      <c r="I465" s="85"/>
    </row>
    <row r="466" spans="1:9" ht="15.75">
      <c r="A466" s="85"/>
      <c r="B466" s="85"/>
      <c r="C466" s="85"/>
      <c r="D466" s="85"/>
      <c r="E466" s="85"/>
      <c r="F466" s="85"/>
      <c r="G466" s="85"/>
      <c r="H466" s="86"/>
      <c r="I466" s="85"/>
    </row>
    <row r="467" spans="1:9" ht="15.75">
      <c r="A467" s="85"/>
      <c r="B467" s="85"/>
      <c r="C467" s="85"/>
      <c r="D467" s="85"/>
      <c r="E467" s="85"/>
      <c r="F467" s="85"/>
      <c r="G467" s="85"/>
      <c r="H467" s="86"/>
      <c r="I467" s="85"/>
    </row>
    <row r="468" spans="1:9" ht="15.75">
      <c r="A468" s="85"/>
      <c r="B468" s="85"/>
      <c r="C468" s="85"/>
      <c r="D468" s="85"/>
      <c r="E468" s="85"/>
      <c r="F468" s="85"/>
      <c r="G468" s="85"/>
      <c r="H468" s="86"/>
      <c r="I468" s="85"/>
    </row>
    <row r="469" spans="1:9" ht="15.75">
      <c r="A469" s="85"/>
      <c r="B469" s="85"/>
      <c r="C469" s="85"/>
      <c r="D469" s="85"/>
      <c r="E469" s="85"/>
      <c r="F469" s="85"/>
      <c r="G469" s="85"/>
      <c r="H469" s="86"/>
      <c r="I469" s="85"/>
    </row>
    <row r="470" spans="1:9" ht="15.75">
      <c r="A470" s="85"/>
      <c r="B470" s="85"/>
      <c r="C470" s="85"/>
      <c r="D470" s="85"/>
      <c r="E470" s="85"/>
      <c r="F470" s="85"/>
      <c r="G470" s="85"/>
      <c r="H470" s="86"/>
      <c r="I470" s="85"/>
    </row>
    <row r="471" spans="1:9" ht="15.75">
      <c r="A471" s="85"/>
      <c r="B471" s="85"/>
      <c r="C471" s="85"/>
      <c r="D471" s="85"/>
      <c r="E471" s="85"/>
      <c r="F471" s="85"/>
      <c r="G471" s="85"/>
      <c r="H471" s="86"/>
      <c r="I471" s="85"/>
    </row>
    <row r="472" spans="1:9" ht="15.75">
      <c r="A472" s="85"/>
      <c r="B472" s="85"/>
      <c r="C472" s="85"/>
      <c r="D472" s="85"/>
      <c r="E472" s="85"/>
      <c r="F472" s="85"/>
      <c r="G472" s="85"/>
      <c r="H472" s="86"/>
      <c r="I472" s="85"/>
    </row>
    <row r="473" spans="1:9" ht="15.75">
      <c r="A473" s="85"/>
      <c r="B473" s="85"/>
      <c r="C473" s="85"/>
      <c r="D473" s="85"/>
      <c r="E473" s="85"/>
      <c r="F473" s="85"/>
      <c r="G473" s="85"/>
      <c r="H473" s="86"/>
      <c r="I473" s="85"/>
    </row>
    <row r="474" spans="1:9" ht="15.75">
      <c r="A474" s="85"/>
      <c r="B474" s="85"/>
      <c r="C474" s="85"/>
      <c r="D474" s="85"/>
      <c r="E474" s="85"/>
      <c r="F474" s="85"/>
      <c r="G474" s="85"/>
      <c r="H474" s="86"/>
      <c r="I474" s="85"/>
    </row>
    <row r="475" spans="1:9" ht="15.75">
      <c r="A475" s="85"/>
      <c r="B475" s="85"/>
      <c r="C475" s="85"/>
      <c r="D475" s="85"/>
      <c r="E475" s="85"/>
      <c r="F475" s="85"/>
      <c r="G475" s="85"/>
      <c r="H475" s="86"/>
      <c r="I475" s="85"/>
    </row>
    <row r="476" spans="1:9" ht="15.75">
      <c r="A476" s="85"/>
      <c r="B476" s="85"/>
      <c r="C476" s="85"/>
      <c r="D476" s="85"/>
      <c r="E476" s="85"/>
      <c r="F476" s="85"/>
      <c r="G476" s="85"/>
      <c r="H476" s="86"/>
      <c r="I476" s="85"/>
    </row>
    <row r="477" spans="1:9" ht="15.75">
      <c r="A477" s="85"/>
      <c r="B477" s="85"/>
      <c r="C477" s="85"/>
      <c r="D477" s="85"/>
      <c r="E477" s="85"/>
      <c r="F477" s="85"/>
      <c r="G477" s="85"/>
      <c r="H477" s="86"/>
      <c r="I477" s="85"/>
    </row>
    <row r="478" spans="1:9" ht="15.75">
      <c r="A478" s="85"/>
      <c r="B478" s="85"/>
      <c r="C478" s="85"/>
      <c r="D478" s="85"/>
      <c r="E478" s="85"/>
      <c r="F478" s="85"/>
      <c r="G478" s="85"/>
      <c r="H478" s="86"/>
      <c r="I478" s="85"/>
    </row>
    <row r="479" spans="1:9" ht="15.75">
      <c r="A479" s="85"/>
      <c r="B479" s="85"/>
      <c r="C479" s="85"/>
      <c r="D479" s="85"/>
      <c r="E479" s="85"/>
      <c r="F479" s="85"/>
      <c r="G479" s="85"/>
      <c r="H479" s="86"/>
      <c r="I479" s="85"/>
    </row>
    <row r="480" spans="1:9" ht="15.75">
      <c r="A480" s="85"/>
      <c r="B480" s="85"/>
      <c r="C480" s="85"/>
      <c r="D480" s="85"/>
      <c r="E480" s="85"/>
      <c r="F480" s="85"/>
      <c r="G480" s="85"/>
      <c r="H480" s="86"/>
      <c r="I480" s="85"/>
    </row>
    <row r="481" spans="1:9" ht="15.75">
      <c r="A481" s="85"/>
      <c r="B481" s="85"/>
      <c r="C481" s="85"/>
      <c r="D481" s="85"/>
      <c r="E481" s="85"/>
      <c r="F481" s="85"/>
      <c r="G481" s="85"/>
      <c r="H481" s="86"/>
      <c r="I481" s="85"/>
    </row>
    <row r="482" spans="1:9" ht="15.75">
      <c r="A482" s="85"/>
      <c r="B482" s="85"/>
      <c r="C482" s="85"/>
      <c r="D482" s="85"/>
      <c r="E482" s="85"/>
      <c r="F482" s="85"/>
      <c r="G482" s="85"/>
      <c r="H482" s="86"/>
      <c r="I482" s="85"/>
    </row>
    <row r="483" spans="1:9" ht="15.75">
      <c r="A483" s="85"/>
      <c r="B483" s="85"/>
      <c r="C483" s="85"/>
      <c r="D483" s="85"/>
      <c r="E483" s="85"/>
      <c r="F483" s="85"/>
      <c r="G483" s="85"/>
      <c r="H483" s="86"/>
      <c r="I483" s="85"/>
    </row>
  </sheetData>
  <sheetProtection/>
  <mergeCells count="2">
    <mergeCell ref="A19:E19"/>
    <mergeCell ref="A33:E33"/>
  </mergeCells>
  <printOptions/>
  <pageMargins left="0.7086614173228347" right="0.5905511811023623" top="0.5118110236220472" bottom="0.7086614173228347" header="0.5118110236220472" footer="0.2755905511811024"/>
  <pageSetup horizontalDpi="600" verticalDpi="600" orientation="portrait" paperSize="9"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codeName="Blad4"/>
  <dimension ref="A1:N275"/>
  <sheetViews>
    <sheetView zoomScalePageLayoutView="0" workbookViewId="0" topLeftCell="A1">
      <selection activeCell="B270" sqref="B270:C271"/>
    </sheetView>
  </sheetViews>
  <sheetFormatPr defaultColWidth="9.00390625" defaultRowHeight="15.75"/>
  <cols>
    <col min="1" max="1" width="7.875" style="131" customWidth="1"/>
    <col min="2" max="2" width="14.00390625" style="131" customWidth="1"/>
    <col min="3" max="3" width="11.50390625" style="131" customWidth="1"/>
    <col min="4" max="4" width="10.875" style="131" customWidth="1"/>
    <col min="5" max="5" width="11.50390625" style="131" customWidth="1"/>
    <col min="6" max="6" width="11.25390625" style="138" customWidth="1"/>
    <col min="7" max="7" width="1.625" style="235" customWidth="1"/>
    <col min="8" max="8" width="11.25390625" style="138" customWidth="1"/>
    <col min="9" max="9" width="1.12109375" style="235" customWidth="1"/>
    <col min="10" max="10" width="6.625" style="131" customWidth="1"/>
    <col min="11" max="16384" width="9.00390625" style="131" customWidth="1"/>
  </cols>
  <sheetData>
    <row r="1" spans="6:10" ht="12" customHeight="1">
      <c r="F1" s="131"/>
      <c r="G1" s="131"/>
      <c r="I1" s="131"/>
      <c r="J1" s="138"/>
    </row>
    <row r="2" spans="2:10" ht="19.5" customHeight="1">
      <c r="B2" s="139" t="str">
        <f>"HSB:s Brf "&amp;BRF_Namn</f>
        <v>HSB:s Brf Munken</v>
      </c>
      <c r="C2" s="139"/>
      <c r="D2" s="139"/>
      <c r="F2" s="131"/>
      <c r="G2" s="140"/>
      <c r="I2" s="131"/>
      <c r="J2" s="138"/>
    </row>
    <row r="3" spans="6:10" ht="12" customHeight="1">
      <c r="F3" s="131"/>
      <c r="G3" s="131"/>
      <c r="I3" s="131"/>
      <c r="J3" s="138"/>
    </row>
    <row r="4" spans="6:10" ht="13.5" customHeight="1">
      <c r="F4" s="131"/>
      <c r="G4" s="131"/>
      <c r="I4" s="131"/>
      <c r="J4" s="138"/>
    </row>
    <row r="5" spans="1:9" s="146" customFormat="1" ht="18.75" customHeight="1" thickBot="1">
      <c r="A5" s="141" t="s">
        <v>48</v>
      </c>
      <c r="B5" s="142"/>
      <c r="C5" s="142"/>
      <c r="D5" s="142"/>
      <c r="E5" s="142"/>
      <c r="F5" s="143"/>
      <c r="G5" s="144"/>
      <c r="H5" s="143"/>
      <c r="I5" s="145"/>
    </row>
    <row r="6" spans="1:9" ht="12" customHeight="1">
      <c r="A6" s="147"/>
      <c r="B6" s="147"/>
      <c r="C6" s="147"/>
      <c r="D6" s="147"/>
      <c r="E6" s="147"/>
      <c r="F6" s="148"/>
      <c r="G6" s="149"/>
      <c r="H6" s="148"/>
      <c r="I6" s="149"/>
    </row>
    <row r="7" spans="2:9" ht="15.75">
      <c r="B7" s="150" t="s">
        <v>86</v>
      </c>
      <c r="C7" s="150"/>
      <c r="D7" s="150"/>
      <c r="E7" s="150"/>
      <c r="F7" s="148"/>
      <c r="G7" s="149"/>
      <c r="H7" s="148"/>
      <c r="I7" s="149"/>
    </row>
    <row r="8" spans="2:9" ht="15.75">
      <c r="B8" s="150"/>
      <c r="C8" s="150"/>
      <c r="D8" s="150"/>
      <c r="E8" s="150"/>
      <c r="F8" s="148"/>
      <c r="G8" s="149"/>
      <c r="H8" s="148"/>
      <c r="I8" s="149"/>
    </row>
    <row r="9" spans="2:9" ht="69.75" customHeight="1">
      <c r="B9" s="287" t="s">
        <v>225</v>
      </c>
      <c r="C9" s="287"/>
      <c r="D9" s="287"/>
      <c r="E9" s="287"/>
      <c r="F9" s="287"/>
      <c r="G9" s="287"/>
      <c r="H9" s="287"/>
      <c r="I9" s="149"/>
    </row>
    <row r="10" spans="2:9" ht="15.75">
      <c r="B10" s="152"/>
      <c r="C10" s="150"/>
      <c r="D10" s="150"/>
      <c r="E10" s="150"/>
      <c r="F10" s="148"/>
      <c r="G10" s="149"/>
      <c r="H10" s="148"/>
      <c r="I10" s="149"/>
    </row>
    <row r="11" spans="2:9" ht="15.75">
      <c r="B11" s="150" t="s">
        <v>188</v>
      </c>
      <c r="C11" s="150"/>
      <c r="D11" s="150"/>
      <c r="E11" s="150"/>
      <c r="F11" s="148"/>
      <c r="G11" s="149"/>
      <c r="H11" s="148"/>
      <c r="I11" s="149"/>
    </row>
    <row r="12" spans="2:9" ht="48" customHeight="1">
      <c r="B12" s="287" t="s">
        <v>414</v>
      </c>
      <c r="C12" s="287"/>
      <c r="D12" s="287"/>
      <c r="E12" s="287"/>
      <c r="F12" s="287"/>
      <c r="G12" s="287"/>
      <c r="H12" s="287"/>
      <c r="I12" s="149"/>
    </row>
    <row r="13" spans="2:9" ht="15.75">
      <c r="B13" s="135"/>
      <c r="C13" s="150"/>
      <c r="D13" s="150"/>
      <c r="E13" s="150"/>
      <c r="F13" s="148"/>
      <c r="G13" s="149"/>
      <c r="H13" s="148"/>
      <c r="I13" s="149"/>
    </row>
    <row r="14" spans="2:9" ht="15.75" hidden="1">
      <c r="B14" s="150" t="s">
        <v>70</v>
      </c>
      <c r="C14" s="150"/>
      <c r="D14" s="150"/>
      <c r="E14" s="150"/>
      <c r="F14" s="148"/>
      <c r="G14" s="149"/>
      <c r="H14" s="148"/>
      <c r="I14" s="149"/>
    </row>
    <row r="15" spans="2:9" ht="15.75" hidden="1">
      <c r="B15" s="287" t="s">
        <v>232</v>
      </c>
      <c r="C15" s="287"/>
      <c r="D15" s="287"/>
      <c r="E15" s="287"/>
      <c r="F15" s="287"/>
      <c r="G15" s="287"/>
      <c r="H15" s="287"/>
      <c r="I15" s="149"/>
    </row>
    <row r="16" spans="2:9" ht="15.75" hidden="1">
      <c r="B16" s="135"/>
      <c r="C16" s="150"/>
      <c r="D16" s="150"/>
      <c r="E16" s="150"/>
      <c r="F16" s="148"/>
      <c r="G16" s="149"/>
      <c r="H16" s="148"/>
      <c r="I16" s="149"/>
    </row>
    <row r="17" spans="2:9" ht="15.75">
      <c r="B17" s="150" t="s">
        <v>42</v>
      </c>
      <c r="C17" s="150"/>
      <c r="D17" s="150"/>
      <c r="E17" s="150"/>
      <c r="F17" s="148"/>
      <c r="G17" s="149"/>
      <c r="H17" s="148"/>
      <c r="I17" s="149"/>
    </row>
    <row r="18" spans="2:9" ht="50.25" customHeight="1">
      <c r="B18" s="287" t="s">
        <v>231</v>
      </c>
      <c r="C18" s="287"/>
      <c r="D18" s="287"/>
      <c r="E18" s="287"/>
      <c r="F18" s="287"/>
      <c r="G18" s="287"/>
      <c r="H18" s="287"/>
      <c r="I18" s="149"/>
    </row>
    <row r="19" spans="2:9" ht="15.75" customHeight="1">
      <c r="B19" s="151"/>
      <c r="C19" s="151"/>
      <c r="D19" s="151"/>
      <c r="E19" s="151"/>
      <c r="F19" s="151"/>
      <c r="G19" s="151"/>
      <c r="H19" s="151"/>
      <c r="I19" s="149"/>
    </row>
    <row r="20" spans="2:9" ht="15.75" customHeight="1" hidden="1">
      <c r="B20" s="150" t="s">
        <v>114</v>
      </c>
      <c r="C20" s="151"/>
      <c r="D20" s="151"/>
      <c r="E20" s="151"/>
      <c r="F20" s="151"/>
      <c r="G20" s="151"/>
      <c r="H20" s="151"/>
      <c r="I20" s="149"/>
    </row>
    <row r="21" spans="2:9" ht="162" customHeight="1" hidden="1">
      <c r="B21" s="287" t="s">
        <v>234</v>
      </c>
      <c r="C21" s="287"/>
      <c r="D21" s="287"/>
      <c r="E21" s="287"/>
      <c r="F21" s="287"/>
      <c r="G21" s="287"/>
      <c r="H21" s="287"/>
      <c r="I21" s="149"/>
    </row>
    <row r="22" spans="2:9" ht="15.75" hidden="1">
      <c r="B22" s="135"/>
      <c r="C22" s="150"/>
      <c r="D22" s="150"/>
      <c r="E22" s="150"/>
      <c r="F22" s="148"/>
      <c r="G22" s="149"/>
      <c r="H22" s="148"/>
      <c r="I22" s="149"/>
    </row>
    <row r="23" spans="2:9" ht="15.75">
      <c r="B23" s="150" t="s">
        <v>189</v>
      </c>
      <c r="C23" s="150"/>
      <c r="D23" s="150"/>
      <c r="E23" s="150"/>
      <c r="F23" s="148"/>
      <c r="G23" s="149"/>
      <c r="H23" s="148"/>
      <c r="I23" s="149"/>
    </row>
    <row r="24" spans="2:9" ht="34.5" customHeight="1">
      <c r="B24" s="287" t="s">
        <v>190</v>
      </c>
      <c r="C24" s="287"/>
      <c r="D24" s="287"/>
      <c r="E24" s="287"/>
      <c r="F24" s="287"/>
      <c r="G24" s="287"/>
      <c r="H24" s="287"/>
      <c r="I24" s="149"/>
    </row>
    <row r="25" spans="2:9" ht="15" customHeight="1">
      <c r="B25" s="151"/>
      <c r="C25" s="151"/>
      <c r="D25" s="151"/>
      <c r="E25" s="151"/>
      <c r="F25" s="151"/>
      <c r="G25" s="151"/>
      <c r="H25" s="151"/>
      <c r="I25" s="149"/>
    </row>
    <row r="26" spans="1:9" s="146" customFormat="1" ht="18.75" customHeight="1" hidden="1" thickBot="1">
      <c r="A26" s="141" t="s">
        <v>48</v>
      </c>
      <c r="B26" s="142"/>
      <c r="C26" s="142"/>
      <c r="D26" s="142"/>
      <c r="E26" s="142"/>
      <c r="F26" s="143">
        <f>Ar_1</f>
        <v>39447</v>
      </c>
      <c r="G26" s="144"/>
      <c r="H26" s="143">
        <f>Ar_2</f>
        <v>39082</v>
      </c>
      <c r="I26" s="145"/>
    </row>
    <row r="27" spans="1:9" ht="15.75" customHeight="1" hidden="1">
      <c r="A27" s="147"/>
      <c r="B27" s="147"/>
      <c r="C27" s="147"/>
      <c r="D27" s="147"/>
      <c r="E27" s="147"/>
      <c r="F27" s="148"/>
      <c r="G27" s="149"/>
      <c r="H27" s="148"/>
      <c r="I27" s="149"/>
    </row>
    <row r="28" spans="2:9" s="153" customFormat="1" ht="15.75">
      <c r="B28" s="150" t="s">
        <v>415</v>
      </c>
      <c r="C28" s="150"/>
      <c r="D28" s="150"/>
      <c r="E28" s="135"/>
      <c r="F28" s="148"/>
      <c r="G28" s="149"/>
      <c r="H28" s="148"/>
      <c r="I28" s="149"/>
    </row>
    <row r="29" spans="1:9" s="153" customFormat="1" ht="15.75" hidden="1">
      <c r="A29" s="135"/>
      <c r="B29" s="135"/>
      <c r="C29" s="135"/>
      <c r="D29" s="135"/>
      <c r="E29" s="135"/>
      <c r="F29" s="154" t="s">
        <v>87</v>
      </c>
      <c r="G29" s="155"/>
      <c r="H29" s="154" t="s">
        <v>88</v>
      </c>
      <c r="I29" s="149"/>
    </row>
    <row r="30" spans="1:9" s="153" customFormat="1" ht="15.75" hidden="1">
      <c r="A30" s="135"/>
      <c r="B30" s="132" t="s">
        <v>108</v>
      </c>
      <c r="C30" s="135"/>
      <c r="D30" s="135"/>
      <c r="E30" s="135"/>
      <c r="F30" s="156"/>
      <c r="G30" s="157"/>
      <c r="H30" s="156"/>
      <c r="I30" s="149"/>
    </row>
    <row r="31" spans="1:9" s="153" customFormat="1" ht="15.75" hidden="1">
      <c r="A31" s="135"/>
      <c r="B31" s="132" t="s">
        <v>109</v>
      </c>
      <c r="C31" s="135"/>
      <c r="D31" s="135"/>
      <c r="E31" s="135"/>
      <c r="F31" s="158"/>
      <c r="G31" s="155"/>
      <c r="H31" s="158"/>
      <c r="I31" s="149"/>
    </row>
    <row r="32" spans="1:9" s="153" customFormat="1" ht="15.75" hidden="1">
      <c r="A32" s="135"/>
      <c r="B32" s="135" t="s">
        <v>110</v>
      </c>
      <c r="C32" s="135"/>
      <c r="D32" s="135"/>
      <c r="E32" s="135"/>
      <c r="F32" s="135">
        <f>SUM(F30:F31)</f>
        <v>0</v>
      </c>
      <c r="G32" s="149"/>
      <c r="H32" s="133">
        <f>SUM(H30:H31)</f>
        <v>0</v>
      </c>
      <c r="I32" s="149"/>
    </row>
    <row r="33" spans="1:9" s="153" customFormat="1" ht="15.75">
      <c r="A33" s="135"/>
      <c r="B33" s="135"/>
      <c r="C33" s="135"/>
      <c r="D33" s="135"/>
      <c r="E33" s="135"/>
      <c r="F33" s="135"/>
      <c r="G33" s="149"/>
      <c r="H33" s="148"/>
      <c r="I33" s="149"/>
    </row>
    <row r="34" spans="1:9" s="153" customFormat="1" ht="15.75">
      <c r="A34" s="150"/>
      <c r="B34" s="150" t="s">
        <v>89</v>
      </c>
      <c r="C34" s="150"/>
      <c r="D34" s="150"/>
      <c r="E34" s="135"/>
      <c r="F34" s="135"/>
      <c r="G34" s="149"/>
      <c r="H34" s="148"/>
      <c r="I34" s="149"/>
    </row>
    <row r="35" spans="1:9" s="159" customFormat="1" ht="15.75">
      <c r="A35" s="135"/>
      <c r="C35" s="133"/>
      <c r="D35" s="133"/>
      <c r="E35" s="133"/>
      <c r="F35" s="129"/>
      <c r="G35" s="160"/>
      <c r="H35" s="161"/>
      <c r="I35" s="162"/>
    </row>
    <row r="36" spans="2:9" s="159" customFormat="1" ht="15.75">
      <c r="B36" s="163" t="s">
        <v>182</v>
      </c>
      <c r="C36" s="133"/>
      <c r="D36" s="133"/>
      <c r="E36" s="133"/>
      <c r="F36" s="129"/>
      <c r="G36" s="160"/>
      <c r="H36" s="129"/>
      <c r="I36" s="162"/>
    </row>
    <row r="37" spans="1:9" s="159" customFormat="1" ht="15.75">
      <c r="A37" s="133"/>
      <c r="B37" s="132" t="s">
        <v>167</v>
      </c>
      <c r="C37" s="133"/>
      <c r="D37" s="133"/>
      <c r="E37" s="133"/>
      <c r="F37" s="136">
        <v>75000</v>
      </c>
      <c r="G37" s="155"/>
      <c r="H37" s="136">
        <v>69475</v>
      </c>
      <c r="I37" s="162"/>
    </row>
    <row r="38" spans="1:9" s="159" customFormat="1" ht="15.75">
      <c r="A38" s="133"/>
      <c r="B38" s="132" t="s">
        <v>111</v>
      </c>
      <c r="C38" s="133"/>
      <c r="D38" s="133"/>
      <c r="E38" s="133"/>
      <c r="F38" s="136">
        <v>12000</v>
      </c>
      <c r="G38" s="155"/>
      <c r="H38" s="136">
        <v>12000</v>
      </c>
      <c r="I38" s="162"/>
    </row>
    <row r="39" spans="1:9" s="159" customFormat="1" ht="15.75">
      <c r="A39" s="133"/>
      <c r="B39" s="132" t="s">
        <v>90</v>
      </c>
      <c r="C39" s="133"/>
      <c r="D39" s="133"/>
      <c r="E39" s="133"/>
      <c r="F39" s="137">
        <f>-2018+22500+900</f>
        <v>21382</v>
      </c>
      <c r="G39" s="155"/>
      <c r="H39" s="136">
        <v>23008</v>
      </c>
      <c r="I39" s="162"/>
    </row>
    <row r="40" spans="1:9" s="159" customFormat="1" ht="15.75" hidden="1">
      <c r="A40" s="133"/>
      <c r="B40" s="132" t="s">
        <v>112</v>
      </c>
      <c r="C40" s="133"/>
      <c r="D40" s="133"/>
      <c r="E40" s="133"/>
      <c r="F40" s="136"/>
      <c r="G40" s="155"/>
      <c r="H40" s="136"/>
      <c r="I40" s="162"/>
    </row>
    <row r="41" spans="1:9" s="159" customFormat="1" ht="15.75">
      <c r="A41" s="133"/>
      <c r="B41" s="132" t="s">
        <v>416</v>
      </c>
      <c r="C41" s="133"/>
      <c r="D41" s="133"/>
      <c r="E41" s="133"/>
      <c r="F41" s="127">
        <v>4236</v>
      </c>
      <c r="G41" s="155"/>
      <c r="H41" s="127">
        <v>0</v>
      </c>
      <c r="I41" s="162"/>
    </row>
    <row r="42" spans="1:9" s="159" customFormat="1" ht="15.75">
      <c r="A42" s="133"/>
      <c r="B42" s="132" t="s">
        <v>110</v>
      </c>
      <c r="C42" s="133"/>
      <c r="D42" s="133"/>
      <c r="E42" s="133"/>
      <c r="F42" s="128">
        <f>SUM(F36:F41)</f>
        <v>112618</v>
      </c>
      <c r="G42" s="164"/>
      <c r="H42" s="128">
        <f>SUM(H36:H41)</f>
        <v>104483</v>
      </c>
      <c r="I42" s="162"/>
    </row>
    <row r="43" spans="1:9" s="159" customFormat="1" ht="15.75">
      <c r="A43" s="133"/>
      <c r="B43" s="133"/>
      <c r="C43" s="133"/>
      <c r="D43" s="133"/>
      <c r="E43" s="133"/>
      <c r="F43" s="128"/>
      <c r="G43" s="164"/>
      <c r="H43" s="128"/>
      <c r="I43" s="162"/>
    </row>
    <row r="44" spans="1:9" s="159" customFormat="1" ht="15.75">
      <c r="A44" s="133"/>
      <c r="B44" s="163" t="s">
        <v>172</v>
      </c>
      <c r="C44" s="133"/>
      <c r="D44" s="133"/>
      <c r="E44" s="133"/>
      <c r="F44" s="128"/>
      <c r="G44" s="164"/>
      <c r="H44" s="128"/>
      <c r="I44" s="162"/>
    </row>
    <row r="45" spans="1:9" s="159" customFormat="1" ht="15.75">
      <c r="A45" s="133"/>
      <c r="B45" s="132" t="s">
        <v>173</v>
      </c>
      <c r="C45" s="133"/>
      <c r="D45" s="133"/>
      <c r="E45" s="133"/>
      <c r="F45" s="136">
        <f>(IF(ISERROR(VillkorAr1_209),0,VillkorAr1_209))+3000</f>
        <v>3000</v>
      </c>
      <c r="G45" s="164"/>
      <c r="H45" s="136">
        <f>(IF(ISERROR(VillkorAr2_209),0,VillkorAr2_209))</f>
        <v>5955</v>
      </c>
      <c r="I45" s="162"/>
    </row>
    <row r="46" spans="1:9" s="159" customFormat="1" ht="15.75">
      <c r="A46" s="133"/>
      <c r="B46" s="133"/>
      <c r="C46" s="133"/>
      <c r="D46" s="133"/>
      <c r="E46" s="133"/>
      <c r="F46" s="129"/>
      <c r="G46" s="160"/>
      <c r="H46" s="161"/>
      <c r="I46" s="162"/>
    </row>
    <row r="47" spans="1:9" s="159" customFormat="1" ht="15.75" hidden="1">
      <c r="A47" s="133"/>
      <c r="B47" s="163" t="s">
        <v>191</v>
      </c>
      <c r="C47" s="133"/>
      <c r="D47" s="133"/>
      <c r="E47" s="133"/>
      <c r="F47" s="129"/>
      <c r="G47" s="160"/>
      <c r="H47" s="129"/>
      <c r="I47" s="162"/>
    </row>
    <row r="48" spans="1:9" s="159" customFormat="1" ht="15.75" hidden="1">
      <c r="A48" s="133"/>
      <c r="B48" s="132" t="s">
        <v>113</v>
      </c>
      <c r="C48" s="133"/>
      <c r="D48" s="133"/>
      <c r="E48" s="133"/>
      <c r="F48" s="136"/>
      <c r="G48" s="136"/>
      <c r="H48" s="136"/>
      <c r="I48" s="162"/>
    </row>
    <row r="49" spans="1:9" s="159" customFormat="1" ht="15.75" hidden="1">
      <c r="A49" s="133"/>
      <c r="B49" s="132" t="s">
        <v>90</v>
      </c>
      <c r="C49" s="133"/>
      <c r="D49" s="133"/>
      <c r="E49" s="133"/>
      <c r="F49" s="136"/>
      <c r="G49" s="136"/>
      <c r="H49" s="136"/>
      <c r="I49" s="162"/>
    </row>
    <row r="50" spans="1:9" s="159" customFormat="1" ht="15.75" hidden="1">
      <c r="A50" s="133"/>
      <c r="B50" s="132" t="s">
        <v>112</v>
      </c>
      <c r="C50" s="133"/>
      <c r="D50" s="133"/>
      <c r="E50" s="133"/>
      <c r="F50" s="136"/>
      <c r="G50" s="136"/>
      <c r="H50" s="136"/>
      <c r="I50" s="162"/>
    </row>
    <row r="51" spans="1:9" s="159" customFormat="1" ht="15.75" hidden="1">
      <c r="A51" s="133"/>
      <c r="B51" s="132" t="s">
        <v>141</v>
      </c>
      <c r="C51" s="133"/>
      <c r="D51" s="133"/>
      <c r="E51" s="133"/>
      <c r="F51" s="127"/>
      <c r="G51" s="155"/>
      <c r="H51" s="127"/>
      <c r="I51" s="162"/>
    </row>
    <row r="52" spans="1:9" s="159" customFormat="1" ht="15.75" hidden="1">
      <c r="A52" s="133"/>
      <c r="B52" s="132" t="s">
        <v>110</v>
      </c>
      <c r="C52" s="133"/>
      <c r="D52" s="133"/>
      <c r="E52" s="133"/>
      <c r="F52" s="136">
        <f>SUM(F47:F51)</f>
        <v>0</v>
      </c>
      <c r="G52" s="136"/>
      <c r="H52" s="136">
        <f>SUM(H47:H51)</f>
        <v>0</v>
      </c>
      <c r="I52" s="162"/>
    </row>
    <row r="53" spans="1:9" s="153" customFormat="1" ht="15.75" hidden="1">
      <c r="A53" s="135"/>
      <c r="B53" s="135"/>
      <c r="C53" s="135"/>
      <c r="D53" s="135"/>
      <c r="E53" s="135"/>
      <c r="F53" s="130"/>
      <c r="G53" s="130"/>
      <c r="H53" s="130"/>
      <c r="I53" s="149"/>
    </row>
    <row r="54" spans="1:9" s="153" customFormat="1" ht="31.5" customHeight="1">
      <c r="A54" s="135"/>
      <c r="B54" s="288" t="s">
        <v>158</v>
      </c>
      <c r="C54" s="288"/>
      <c r="D54" s="288"/>
      <c r="E54" s="288"/>
      <c r="F54" s="130">
        <f>F42+F45+F52</f>
        <v>115618</v>
      </c>
      <c r="G54" s="130"/>
      <c r="H54" s="130">
        <f>H42+H45+H52</f>
        <v>110438</v>
      </c>
      <c r="I54" s="149"/>
    </row>
    <row r="55" spans="1:9" s="146" customFormat="1" ht="18.75" customHeight="1" thickBot="1">
      <c r="A55" s="141" t="s">
        <v>48</v>
      </c>
      <c r="B55" s="142"/>
      <c r="C55" s="142"/>
      <c r="D55" s="142"/>
      <c r="E55" s="142"/>
      <c r="F55" s="143">
        <f>Ar_1</f>
        <v>39447</v>
      </c>
      <c r="G55" s="144"/>
      <c r="H55" s="143">
        <f>Ar_2</f>
        <v>39082</v>
      </c>
      <c r="I55" s="145"/>
    </row>
    <row r="56" spans="1:9" ht="15.75" customHeight="1">
      <c r="A56" s="147"/>
      <c r="B56" s="147"/>
      <c r="C56" s="147"/>
      <c r="D56" s="147"/>
      <c r="E56" s="147"/>
      <c r="F56" s="148"/>
      <c r="G56" s="149"/>
      <c r="H56" s="148"/>
      <c r="I56" s="149"/>
    </row>
    <row r="57" spans="1:9" ht="15.75">
      <c r="A57" s="150" t="str">
        <f>Resultaträkning!E7</f>
        <v>Not 1</v>
      </c>
      <c r="B57" s="163" t="s">
        <v>62</v>
      </c>
      <c r="C57" s="150"/>
      <c r="D57" s="150"/>
      <c r="E57" s="150"/>
      <c r="F57" s="134"/>
      <c r="G57" s="165"/>
      <c r="H57" s="134"/>
      <c r="I57" s="166"/>
    </row>
    <row r="58" spans="1:9" ht="15.75">
      <c r="A58" s="135"/>
      <c r="B58" s="167" t="s">
        <v>77</v>
      </c>
      <c r="C58" s="135"/>
      <c r="D58" s="135"/>
      <c r="E58" s="135"/>
      <c r="F58" s="134">
        <f>(IF(ISERROR(VillkorAr1_126),0,VillkorAr1_126))*-1</f>
        <v>3999865</v>
      </c>
      <c r="G58" s="165"/>
      <c r="H58" s="134">
        <f>(IF(ISERROR(VillkorAr2_126),0,VillkorAr2_126))*-1</f>
        <v>3995757</v>
      </c>
      <c r="I58" s="166"/>
    </row>
    <row r="59" spans="1:9" ht="15.75">
      <c r="A59" s="135"/>
      <c r="B59" s="167" t="s">
        <v>78</v>
      </c>
      <c r="C59" s="135"/>
      <c r="D59" s="135"/>
      <c r="E59" s="135"/>
      <c r="F59" s="134">
        <f>(IF(ISERROR(VillkorAr1_127),0,VillkorAr1_127))*-1</f>
        <v>103056</v>
      </c>
      <c r="G59" s="165"/>
      <c r="H59" s="134">
        <f>(IF(ISERROR(VillkorAr2_127),0,VillkorAr2_127))*-1</f>
        <v>115065</v>
      </c>
      <c r="I59" s="166"/>
    </row>
    <row r="60" spans="1:9" ht="15.75">
      <c r="A60" s="135"/>
      <c r="B60" s="168" t="s">
        <v>56</v>
      </c>
      <c r="C60" s="169"/>
      <c r="D60" s="169"/>
      <c r="E60" s="169"/>
      <c r="F60" s="170">
        <f>(IF(ISERROR(VillkorAr1_128),0,VillkorAr1_128))*-1</f>
        <v>35440</v>
      </c>
      <c r="G60" s="165"/>
      <c r="H60" s="170">
        <f>(IF(ISERROR(VillkorAr2_128),0,VillkorAr2_128))*-1</f>
        <v>15514</v>
      </c>
      <c r="I60" s="171"/>
    </row>
    <row r="61" spans="1:9" ht="15.75">
      <c r="A61" s="135"/>
      <c r="B61" s="167" t="s">
        <v>63</v>
      </c>
      <c r="C61" s="135"/>
      <c r="D61" s="135"/>
      <c r="E61" s="135"/>
      <c r="F61" s="134">
        <f>SUM(F58:F60)</f>
        <v>4138361</v>
      </c>
      <c r="G61" s="165"/>
      <c r="H61" s="134">
        <f>SUM(H58:H60)</f>
        <v>4126336</v>
      </c>
      <c r="I61" s="166"/>
    </row>
    <row r="62" spans="1:9" ht="15.75">
      <c r="A62" s="135"/>
      <c r="B62" s="150"/>
      <c r="C62" s="150"/>
      <c r="D62" s="150"/>
      <c r="E62" s="150"/>
      <c r="F62" s="134"/>
      <c r="G62" s="165"/>
      <c r="H62" s="134"/>
      <c r="I62" s="166"/>
    </row>
    <row r="63" spans="1:9" ht="15.75">
      <c r="A63" s="135"/>
      <c r="B63" s="167" t="s">
        <v>93</v>
      </c>
      <c r="C63" s="135"/>
      <c r="D63" s="135"/>
      <c r="E63" s="135"/>
      <c r="F63" s="134">
        <f>(IF(ISERROR(VillkorAr1_130),0,VillkorAr1_130))*-1</f>
        <v>0</v>
      </c>
      <c r="G63" s="165"/>
      <c r="H63" s="134">
        <f>(IF(ISERROR(VillkorAr2_130),0,VillkorAr2_130))*-1</f>
        <v>-5164</v>
      </c>
      <c r="I63" s="166"/>
    </row>
    <row r="64" spans="1:9" ht="15.75">
      <c r="A64" s="135"/>
      <c r="B64" s="167" t="s">
        <v>131</v>
      </c>
      <c r="C64" s="135"/>
      <c r="D64" s="135"/>
      <c r="E64" s="135"/>
      <c r="F64" s="170">
        <f>(IF(ISERROR(VillkorAr1_166),0,VillkorAr1_166))*-1</f>
        <v>-2</v>
      </c>
      <c r="G64" s="165"/>
      <c r="H64" s="170">
        <f>(IF(ISERROR(VillkorAr2_166),0,VillkorAr2_166))*-1</f>
        <v>0</v>
      </c>
      <c r="I64" s="166"/>
    </row>
    <row r="65" spans="1:9" ht="15.75" hidden="1">
      <c r="A65" s="135"/>
      <c r="B65" s="167" t="s">
        <v>64</v>
      </c>
      <c r="C65" s="135"/>
      <c r="D65" s="135"/>
      <c r="E65" s="135"/>
      <c r="F65" s="170">
        <f>(IF(ISERROR(VillkorAr1_131),0,VillkorAr1_131))*-1</f>
        <v>0</v>
      </c>
      <c r="G65" s="172"/>
      <c r="H65" s="170">
        <f>(IF(ISERROR(VillkorAr2_131),0,VillkorAr2_131))*-1</f>
        <v>0</v>
      </c>
      <c r="I65" s="171"/>
    </row>
    <row r="66" spans="2:9" s="135" customFormat="1" ht="15.75">
      <c r="B66" s="135" t="s">
        <v>62</v>
      </c>
      <c r="F66" s="134">
        <f>F61+SUM(F63:F65)</f>
        <v>4138359</v>
      </c>
      <c r="G66" s="165"/>
      <c r="H66" s="134">
        <f>H61+SUM(H63:H65)</f>
        <v>4121172</v>
      </c>
      <c r="I66" s="166"/>
    </row>
    <row r="67" spans="1:9" ht="15.75">
      <c r="A67" s="135"/>
      <c r="B67" s="150"/>
      <c r="C67" s="150"/>
      <c r="D67" s="150"/>
      <c r="E67" s="150"/>
      <c r="F67" s="134"/>
      <c r="G67" s="165"/>
      <c r="H67" s="134"/>
      <c r="I67" s="166"/>
    </row>
    <row r="68" spans="1:9" ht="15.75">
      <c r="A68" s="150" t="str">
        <f>Resultaträkning!E10</f>
        <v>Not 2</v>
      </c>
      <c r="B68" s="150" t="s">
        <v>175</v>
      </c>
      <c r="C68" s="150"/>
      <c r="D68" s="150"/>
      <c r="E68" s="150"/>
      <c r="F68" s="134"/>
      <c r="G68" s="165"/>
      <c r="H68" s="134"/>
      <c r="I68" s="166"/>
    </row>
    <row r="69" spans="1:9" ht="15.75">
      <c r="A69" s="150"/>
      <c r="B69" s="167" t="s">
        <v>132</v>
      </c>
      <c r="C69" s="150"/>
      <c r="D69" s="150"/>
      <c r="E69" s="150"/>
      <c r="F69" s="134">
        <f>IF(ISERROR(VillkorAr1_202),0,VillkorAr1_202)+75000+22500+3000+900</f>
        <v>115618</v>
      </c>
      <c r="G69" s="165"/>
      <c r="H69" s="134">
        <f>IF(ISERROR(VillkorAr2_202),0,VillkorAr2_202)</f>
        <v>110438</v>
      </c>
      <c r="I69" s="166"/>
    </row>
    <row r="70" spans="1:9" ht="15.75">
      <c r="A70" s="135"/>
      <c r="B70" s="167" t="s">
        <v>66</v>
      </c>
      <c r="C70" s="135"/>
      <c r="D70" s="135"/>
      <c r="E70" s="135"/>
      <c r="F70" s="134">
        <f>IF(ISERROR(VillkorAr1_132),0,VillkorAr1_132)</f>
        <v>258199</v>
      </c>
      <c r="G70" s="165"/>
      <c r="H70" s="134">
        <f>IF(ISERROR(VillkorAr2_132),0,VillkorAr2_132)</f>
        <v>229235</v>
      </c>
      <c r="I70" s="166"/>
    </row>
    <row r="71" spans="1:11" ht="15.75">
      <c r="A71" s="135"/>
      <c r="B71" s="167" t="s">
        <v>67</v>
      </c>
      <c r="C71" s="135"/>
      <c r="D71" s="135"/>
      <c r="E71" s="135"/>
      <c r="F71" s="134">
        <f>IF(ISERROR(VillkorAr1_133),0,VillkorAr1_133)</f>
        <v>337190</v>
      </c>
      <c r="G71" s="165"/>
      <c r="H71" s="134">
        <f>IF(ISERROR(VillkorAr2_133),0,VillkorAr2_133)</f>
        <v>277070</v>
      </c>
      <c r="I71" s="166"/>
      <c r="J71" s="173"/>
      <c r="K71" s="173"/>
    </row>
    <row r="72" spans="1:9" ht="15.75">
      <c r="A72" s="135"/>
      <c r="B72" s="167" t="s">
        <v>79</v>
      </c>
      <c r="C72" s="135"/>
      <c r="D72" s="135"/>
      <c r="E72" s="135"/>
      <c r="F72" s="134"/>
      <c r="G72" s="165"/>
      <c r="H72" s="134"/>
      <c r="I72" s="166"/>
    </row>
    <row r="73" spans="1:9" ht="15.75">
      <c r="A73" s="135"/>
      <c r="B73" s="167" t="s">
        <v>60</v>
      </c>
      <c r="D73" s="135"/>
      <c r="F73" s="134">
        <f>IF(ISERROR(VillkorAr1_135),0,VillkorAr1_135)</f>
        <v>258998</v>
      </c>
      <c r="G73" s="165"/>
      <c r="H73" s="134">
        <f>IF(ISERROR(VillkorAr2_135),0,VillkorAr2_135)</f>
        <v>239041</v>
      </c>
      <c r="I73" s="166"/>
    </row>
    <row r="74" spans="1:11" ht="15.75">
      <c r="A74" s="135"/>
      <c r="B74" s="167" t="s">
        <v>58</v>
      </c>
      <c r="D74" s="135"/>
      <c r="F74" s="134">
        <f>IF(ISERROR(VillkorAr1_136),0,VillkorAr1_136)</f>
        <v>370812</v>
      </c>
      <c r="G74" s="165"/>
      <c r="H74" s="134">
        <f>IF(ISERROR(VillkorAr2_136),0,VillkorAr2_136)</f>
        <v>348082</v>
      </c>
      <c r="I74" s="166"/>
      <c r="J74" s="173"/>
      <c r="K74" s="173"/>
    </row>
    <row r="75" spans="1:11" ht="15.75">
      <c r="A75" s="135"/>
      <c r="B75" s="167" t="s">
        <v>434</v>
      </c>
      <c r="D75" s="135"/>
      <c r="F75" s="134">
        <f>IF(ISERROR(VillkorAr1_137),0,VillkorAr1_137)+11800</f>
        <v>79561</v>
      </c>
      <c r="G75" s="165"/>
      <c r="H75" s="134">
        <f>IF(ISERROR(VillkorAr2_137),0,VillkorAr2_137)</f>
        <v>42168</v>
      </c>
      <c r="I75" s="166"/>
      <c r="J75" s="173"/>
      <c r="K75" s="173"/>
    </row>
    <row r="76" spans="1:11" ht="15.75">
      <c r="A76" s="135"/>
      <c r="B76" s="167" t="s">
        <v>57</v>
      </c>
      <c r="D76" s="135"/>
      <c r="F76" s="134">
        <f>IF(ISERROR(VillkorAr1_138),0,VillkorAr1_138)</f>
        <v>51222</v>
      </c>
      <c r="G76" s="165"/>
      <c r="H76" s="134">
        <f>IF(ISERROR(VillkorAr2_138),0,VillkorAr2_138)</f>
        <v>58029</v>
      </c>
      <c r="I76" s="166"/>
      <c r="J76" s="173"/>
      <c r="K76" s="173"/>
    </row>
    <row r="77" spans="1:11" ht="15.75">
      <c r="A77" s="135"/>
      <c r="B77" s="167" t="s">
        <v>138</v>
      </c>
      <c r="D77" s="135"/>
      <c r="F77" s="134">
        <f>IF(ISERROR(VillkorAr1_174),0,VillkorAr1_174)</f>
        <v>21397</v>
      </c>
      <c r="G77" s="165"/>
      <c r="H77" s="134">
        <f>IF(ISERROR(VillkorAr2_174),0,VillkorAr2_174)</f>
        <v>23496</v>
      </c>
      <c r="I77" s="166"/>
      <c r="J77" s="173"/>
      <c r="K77" s="173"/>
    </row>
    <row r="78" spans="1:11" ht="15.75">
      <c r="A78" s="135"/>
      <c r="B78" s="167" t="s">
        <v>139</v>
      </c>
      <c r="D78" s="135"/>
      <c r="F78" s="134">
        <f>IF(ISERROR(VillkorAr1_175),0,VillkorAr1_175)</f>
        <v>54218</v>
      </c>
      <c r="G78" s="165"/>
      <c r="H78" s="134">
        <f>IF(ISERROR(VillkorAr2_175),0,VillkorAr2_175)</f>
        <v>53893</v>
      </c>
      <c r="I78" s="166"/>
      <c r="J78" s="173"/>
      <c r="K78" s="173"/>
    </row>
    <row r="79" spans="1:11" ht="15.75">
      <c r="A79" s="135"/>
      <c r="B79" s="167" t="s">
        <v>92</v>
      </c>
      <c r="C79" s="135"/>
      <c r="D79" s="135"/>
      <c r="E79" s="135"/>
      <c r="F79" s="134">
        <f>IF(ISERROR(VillkorAr1_141),0,VillkorAr1_141)</f>
        <v>4807</v>
      </c>
      <c r="G79" s="165"/>
      <c r="H79" s="134">
        <f>IF(ISERROR(VillkorAr2_141),0,VillkorAr2_141)</f>
        <v>3607</v>
      </c>
      <c r="I79" s="166"/>
      <c r="J79" s="173"/>
      <c r="K79" s="173"/>
    </row>
    <row r="80" spans="1:11" ht="15.75">
      <c r="A80" s="135"/>
      <c r="B80" s="167" t="s">
        <v>91</v>
      </c>
      <c r="C80" s="135"/>
      <c r="D80" s="135"/>
      <c r="E80" s="135"/>
      <c r="F80" s="134">
        <f>IF(ISERROR(VillkorAr1_142),0,VillkorAr1_142)</f>
        <v>89571</v>
      </c>
      <c r="G80" s="165"/>
      <c r="H80" s="134">
        <f>IF(ISERROR(VillkorAr2_142),0,VillkorAr2_142)</f>
        <v>81177</v>
      </c>
      <c r="I80" s="166"/>
      <c r="J80" s="173"/>
      <c r="K80" s="173"/>
    </row>
    <row r="81" spans="1:11" ht="15.75">
      <c r="A81" s="135"/>
      <c r="B81" s="167" t="s">
        <v>80</v>
      </c>
      <c r="C81" s="135"/>
      <c r="D81" s="135"/>
      <c r="E81" s="135"/>
      <c r="F81" s="170">
        <f>IF(ISERROR(VillkorAr1_143),0,VillkorAr1_143)</f>
        <v>155365</v>
      </c>
      <c r="G81" s="165"/>
      <c r="H81" s="170">
        <f>IF(ISERROR(VillkorAr2_143),0,VillkorAr2_143)</f>
        <v>124825</v>
      </c>
      <c r="I81" s="171"/>
      <c r="J81" s="173"/>
      <c r="K81" s="173"/>
    </row>
    <row r="82" spans="2:11" s="135" customFormat="1" ht="15.75">
      <c r="B82" s="167" t="s">
        <v>223</v>
      </c>
      <c r="F82" s="134">
        <f>SUM(F73:F81)+SUM(F69:F71)</f>
        <v>1796958</v>
      </c>
      <c r="G82" s="165"/>
      <c r="H82" s="134">
        <f>SUM(H73:H81)+SUM(H69:H71)</f>
        <v>1591061</v>
      </c>
      <c r="I82" s="166"/>
      <c r="J82" s="174"/>
      <c r="K82" s="174"/>
    </row>
    <row r="83" spans="2:11" s="135" customFormat="1" ht="15.75">
      <c r="B83" s="167"/>
      <c r="F83" s="134"/>
      <c r="G83" s="165"/>
      <c r="H83" s="134"/>
      <c r="I83" s="166"/>
      <c r="J83" s="174"/>
      <c r="K83" s="174"/>
    </row>
    <row r="84" spans="1:11" s="135" customFormat="1" ht="15.75">
      <c r="A84" s="175" t="s">
        <v>436</v>
      </c>
      <c r="B84" s="167" t="s">
        <v>435</v>
      </c>
      <c r="F84" s="134"/>
      <c r="G84" s="165"/>
      <c r="H84" s="134"/>
      <c r="I84" s="166"/>
      <c r="J84" s="174"/>
      <c r="K84" s="174"/>
    </row>
    <row r="85" spans="1:11" ht="15.75">
      <c r="A85" s="135"/>
      <c r="B85" s="135"/>
      <c r="C85" s="135"/>
      <c r="D85" s="135"/>
      <c r="E85" s="135"/>
      <c r="F85" s="134"/>
      <c r="G85" s="165"/>
      <c r="H85" s="134"/>
      <c r="I85" s="166"/>
      <c r="J85" s="173"/>
      <c r="K85" s="173"/>
    </row>
    <row r="86" spans="1:11" ht="15.75" hidden="1">
      <c r="A86" s="135"/>
      <c r="B86" s="135"/>
      <c r="C86" s="135"/>
      <c r="D86" s="135"/>
      <c r="E86" s="135"/>
      <c r="F86" s="134"/>
      <c r="G86" s="165"/>
      <c r="H86" s="134"/>
      <c r="I86" s="166"/>
      <c r="J86" s="173"/>
      <c r="K86" s="173"/>
    </row>
    <row r="87" spans="1:9" s="146" customFormat="1" ht="18.75" customHeight="1" hidden="1" thickBot="1">
      <c r="A87" s="141" t="s">
        <v>48</v>
      </c>
      <c r="B87" s="142"/>
      <c r="C87" s="142"/>
      <c r="D87" s="142"/>
      <c r="E87" s="142"/>
      <c r="F87" s="143">
        <f>Ar_1</f>
        <v>39447</v>
      </c>
      <c r="G87" s="144"/>
      <c r="H87" s="143">
        <f>Ar_2</f>
        <v>39082</v>
      </c>
      <c r="I87" s="145"/>
    </row>
    <row r="88" spans="1:9" ht="15.75" customHeight="1" hidden="1">
      <c r="A88" s="147"/>
      <c r="B88" s="147"/>
      <c r="C88" s="147"/>
      <c r="D88" s="147"/>
      <c r="E88" s="147"/>
      <c r="F88" s="148"/>
      <c r="G88" s="149"/>
      <c r="H88" s="148"/>
      <c r="I88" s="149"/>
    </row>
    <row r="89" spans="1:9" ht="15.75" hidden="1">
      <c r="A89" s="150" t="str">
        <f>Resultaträkning!E19</f>
        <v>Not 3</v>
      </c>
      <c r="B89" s="150" t="s">
        <v>55</v>
      </c>
      <c r="C89" s="150"/>
      <c r="D89" s="150"/>
      <c r="E89" s="150"/>
      <c r="F89" s="134"/>
      <c r="G89" s="165"/>
      <c r="H89" s="134"/>
      <c r="I89" s="166"/>
    </row>
    <row r="90" spans="2:9" s="135" customFormat="1" ht="15.75" hidden="1">
      <c r="B90" s="167" t="s">
        <v>117</v>
      </c>
      <c r="F90" s="134"/>
      <c r="G90" s="165"/>
      <c r="H90" s="134"/>
      <c r="I90" s="166"/>
    </row>
    <row r="91" spans="1:9" ht="15.75" hidden="1">
      <c r="A91" s="135"/>
      <c r="B91" s="135"/>
      <c r="C91" s="135"/>
      <c r="D91" s="135"/>
      <c r="E91" s="135"/>
      <c r="F91" s="134"/>
      <c r="G91" s="165"/>
      <c r="H91" s="134"/>
      <c r="I91" s="166"/>
    </row>
    <row r="92" spans="1:9" ht="31.5" customHeight="1" hidden="1">
      <c r="A92" s="176" t="str">
        <f>Resultaträkning!E24</f>
        <v>Not 4</v>
      </c>
      <c r="B92" s="291" t="s">
        <v>129</v>
      </c>
      <c r="C92" s="291"/>
      <c r="D92" s="291"/>
      <c r="E92" s="291"/>
      <c r="F92" s="134"/>
      <c r="G92" s="165"/>
      <c r="H92" s="134"/>
      <c r="I92" s="166"/>
    </row>
    <row r="93" spans="2:9" s="135" customFormat="1" ht="15.75" hidden="1">
      <c r="B93" s="177"/>
      <c r="F93" s="134"/>
      <c r="G93" s="165"/>
      <c r="H93" s="134"/>
      <c r="I93" s="166"/>
    </row>
    <row r="94" spans="1:9" ht="15.75" hidden="1">
      <c r="A94" s="135"/>
      <c r="B94" s="135"/>
      <c r="C94" s="135"/>
      <c r="D94" s="135"/>
      <c r="E94" s="135"/>
      <c r="F94" s="134"/>
      <c r="G94" s="165"/>
      <c r="H94" s="134"/>
      <c r="I94" s="166"/>
    </row>
    <row r="95" spans="1:9" ht="15.75">
      <c r="A95" s="150" t="str">
        <f>Resultaträkning!E25</f>
        <v>Not 3</v>
      </c>
      <c r="B95" s="150" t="s">
        <v>176</v>
      </c>
      <c r="C95" s="150"/>
      <c r="D95" s="150"/>
      <c r="E95" s="150"/>
      <c r="F95" s="134"/>
      <c r="G95" s="165"/>
      <c r="H95" s="134"/>
      <c r="I95" s="166"/>
    </row>
    <row r="96" spans="1:9" ht="15.75">
      <c r="A96" s="150"/>
      <c r="B96" s="167" t="s">
        <v>169</v>
      </c>
      <c r="C96" s="150"/>
      <c r="D96" s="150"/>
      <c r="E96" s="150"/>
      <c r="F96" s="134">
        <f>IF(ISERROR(VillkorAr1_193),0,VillkorAr1_193)*-1</f>
        <v>7700</v>
      </c>
      <c r="G96" s="165"/>
      <c r="H96" s="134">
        <f>IF(ISERROR(VillkorAr2_193),0,VillkorAr2_193)*-1</f>
        <v>1483</v>
      </c>
      <c r="I96" s="166"/>
    </row>
    <row r="97" spans="1:9" ht="15.75" hidden="1">
      <c r="A97" s="150"/>
      <c r="B97" s="167" t="s">
        <v>170</v>
      </c>
      <c r="C97" s="150"/>
      <c r="D97" s="150"/>
      <c r="E97" s="150"/>
      <c r="F97" s="134">
        <f>IF(ISERROR(VillkorAr1_194),0,VillkorAr1_194)*-1</f>
        <v>0</v>
      </c>
      <c r="G97" s="165"/>
      <c r="H97" s="134">
        <f>IF(ISERROR(VillkorAr2_194),0,VillkorAr2_194)*-1</f>
        <v>0</v>
      </c>
      <c r="I97" s="166"/>
    </row>
    <row r="98" spans="1:9" ht="15.75">
      <c r="A98" s="150"/>
      <c r="B98" s="167" t="s">
        <v>171</v>
      </c>
      <c r="C98" s="150"/>
      <c r="D98" s="150"/>
      <c r="E98" s="150"/>
      <c r="F98" s="170">
        <f>IF(ISERROR(VillkorAr1_195),0,VillkorAr1_195)*-1</f>
        <v>139227.65</v>
      </c>
      <c r="G98" s="165"/>
      <c r="H98" s="170">
        <f>IF(ISERROR(VillkorAr2_195),0,VillkorAr2_195)*-1</f>
        <v>27294.84</v>
      </c>
      <c r="I98" s="166"/>
    </row>
    <row r="99" spans="2:9" s="135" customFormat="1" ht="15.75">
      <c r="B99" s="135" t="s">
        <v>224</v>
      </c>
      <c r="F99" s="134">
        <f>SUM(F96:F98)</f>
        <v>146927.65</v>
      </c>
      <c r="G99" s="165"/>
      <c r="H99" s="134">
        <f>SUM(H96:H98)</f>
        <v>28777.84</v>
      </c>
      <c r="I99" s="166"/>
    </row>
    <row r="100" spans="1:9" ht="15.75">
      <c r="A100" s="135"/>
      <c r="B100" s="135"/>
      <c r="C100" s="135"/>
      <c r="D100" s="135"/>
      <c r="E100" s="135"/>
      <c r="F100" s="134"/>
      <c r="G100" s="165"/>
      <c r="H100" s="134"/>
      <c r="I100" s="166"/>
    </row>
    <row r="101" spans="1:11" ht="15.75">
      <c r="A101" s="150" t="str">
        <f>Resultaträkning!E26</f>
        <v>Not 4</v>
      </c>
      <c r="B101" s="150" t="s">
        <v>17</v>
      </c>
      <c r="C101" s="150"/>
      <c r="D101" s="150"/>
      <c r="E101" s="150"/>
      <c r="F101" s="134"/>
      <c r="G101" s="165"/>
      <c r="H101" s="134"/>
      <c r="I101" s="166"/>
      <c r="J101" s="173"/>
      <c r="K101" s="173"/>
    </row>
    <row r="102" spans="1:11" ht="15.75">
      <c r="A102" s="135"/>
      <c r="B102" s="167" t="s">
        <v>183</v>
      </c>
      <c r="C102" s="135"/>
      <c r="D102" s="135"/>
      <c r="E102" s="135"/>
      <c r="F102" s="134">
        <f>IF(ISERROR(VillkorAr1_149),0,VillkorAr1_149)</f>
        <v>1504862</v>
      </c>
      <c r="G102" s="165"/>
      <c r="H102" s="134">
        <f>IF(ISERROR(VillkorAr2_149),0,VillkorAr2_149)</f>
        <v>1210183</v>
      </c>
      <c r="I102" s="166"/>
      <c r="J102" s="173"/>
      <c r="K102" s="173"/>
    </row>
    <row r="103" spans="1:11" ht="15.75">
      <c r="A103" s="135"/>
      <c r="B103" s="167" t="s">
        <v>184</v>
      </c>
      <c r="C103" s="135"/>
      <c r="D103" s="135"/>
      <c r="E103" s="135"/>
      <c r="F103" s="134">
        <f>IF(ISERROR(VillkorAr1_207),0,VillkorAr1_207)</f>
        <v>5</v>
      </c>
      <c r="G103" s="165"/>
      <c r="H103" s="134">
        <f>IF(ISERROR(VillkorAr2_207),0,VillkorAr2_207)</f>
        <v>0</v>
      </c>
      <c r="I103" s="166"/>
      <c r="J103" s="173"/>
      <c r="K103" s="173"/>
    </row>
    <row r="104" spans="1:9" ht="15.75">
      <c r="A104" s="135"/>
      <c r="B104" s="167" t="s">
        <v>83</v>
      </c>
      <c r="C104" s="135"/>
      <c r="D104" s="135"/>
      <c r="E104" s="135"/>
      <c r="F104" s="170">
        <f>IF(ISERROR(VillkorAr1_151),0,VillkorAr1_151)</f>
        <v>-282780</v>
      </c>
      <c r="G104" s="165"/>
      <c r="H104" s="170">
        <f>IF(ISERROR(VillkorAr2_151),0,VillkorAr2_151)</f>
        <v>-693640</v>
      </c>
      <c r="I104" s="166"/>
    </row>
    <row r="105" spans="1:9" ht="15.75" hidden="1">
      <c r="A105" s="135"/>
      <c r="B105" s="167" t="s">
        <v>118</v>
      </c>
      <c r="C105" s="135"/>
      <c r="D105" s="135"/>
      <c r="E105" s="135"/>
      <c r="F105" s="170">
        <f>IF(ISERROR(VillkorAr1_152),0,VillkorAr1_152)</f>
        <v>0</v>
      </c>
      <c r="G105" s="165"/>
      <c r="H105" s="170">
        <f>IF(ISERROR(VillkorAr2_152),0,VillkorAr2_152)</f>
        <v>0</v>
      </c>
      <c r="I105" s="165"/>
    </row>
    <row r="106" spans="2:10" s="135" customFormat="1" ht="15.75">
      <c r="B106" s="135" t="s">
        <v>159</v>
      </c>
      <c r="F106" s="178">
        <f>SUM(F102:F105)</f>
        <v>1222087</v>
      </c>
      <c r="G106" s="178"/>
      <c r="H106" s="178">
        <f>SUM(H102:H105)</f>
        <v>516543</v>
      </c>
      <c r="I106" s="166"/>
      <c r="J106" s="169"/>
    </row>
    <row r="107" spans="6:10" s="135" customFormat="1" ht="15.75">
      <c r="F107" s="178"/>
      <c r="G107" s="178"/>
      <c r="H107" s="178"/>
      <c r="I107" s="166"/>
      <c r="J107" s="169"/>
    </row>
    <row r="108" spans="1:9" s="146" customFormat="1" ht="18.75" customHeight="1" thickBot="1">
      <c r="A108" s="141" t="s">
        <v>48</v>
      </c>
      <c r="B108" s="142"/>
      <c r="C108" s="142"/>
      <c r="D108" s="142"/>
      <c r="E108" s="142"/>
      <c r="F108" s="143">
        <f>Ar_1</f>
        <v>39447</v>
      </c>
      <c r="G108" s="144"/>
      <c r="H108" s="143">
        <f>Ar_2</f>
        <v>39082</v>
      </c>
      <c r="I108" s="145"/>
    </row>
    <row r="109" spans="1:9" ht="15.75" customHeight="1">
      <c r="A109" s="147"/>
      <c r="B109" s="147"/>
      <c r="C109" s="147"/>
      <c r="D109" s="147"/>
      <c r="E109" s="147"/>
      <c r="F109" s="148"/>
      <c r="G109" s="149"/>
      <c r="H109" s="148"/>
      <c r="I109" s="149"/>
    </row>
    <row r="110" spans="1:10" ht="15.75">
      <c r="A110" s="150" t="str">
        <f>Balansräkning!E12</f>
        <v>Not 5</v>
      </c>
      <c r="B110" s="150" t="s">
        <v>177</v>
      </c>
      <c r="C110" s="150"/>
      <c r="D110" s="150"/>
      <c r="E110" s="150"/>
      <c r="F110" s="134"/>
      <c r="G110" s="165"/>
      <c r="H110" s="134"/>
      <c r="I110" s="179"/>
      <c r="J110" s="180"/>
    </row>
    <row r="111" spans="1:10" ht="9.75" customHeight="1">
      <c r="A111" s="150"/>
      <c r="B111" s="150"/>
      <c r="C111" s="150"/>
      <c r="D111" s="150"/>
      <c r="E111" s="150"/>
      <c r="F111" s="134"/>
      <c r="G111" s="165"/>
      <c r="H111" s="134"/>
      <c r="I111" s="179"/>
      <c r="J111" s="180"/>
    </row>
    <row r="112" spans="1:10" ht="15.75">
      <c r="A112" s="150"/>
      <c r="B112" s="150" t="s">
        <v>24</v>
      </c>
      <c r="C112" s="150"/>
      <c r="D112" s="150"/>
      <c r="E112" s="150"/>
      <c r="F112" s="134"/>
      <c r="G112" s="165"/>
      <c r="H112" s="134"/>
      <c r="I112" s="179"/>
      <c r="J112" s="180"/>
    </row>
    <row r="113" spans="1:10" ht="9.75" customHeight="1">
      <c r="A113" s="150"/>
      <c r="B113" s="150"/>
      <c r="C113" s="150"/>
      <c r="D113" s="150"/>
      <c r="E113" s="150"/>
      <c r="F113" s="134"/>
      <c r="G113" s="165"/>
      <c r="H113" s="134"/>
      <c r="I113" s="179"/>
      <c r="J113" s="180"/>
    </row>
    <row r="114" spans="1:10" s="187" customFormat="1" ht="26.25" customHeight="1">
      <c r="A114" s="181"/>
      <c r="B114" s="181"/>
      <c r="C114" s="182" t="s">
        <v>98</v>
      </c>
      <c r="D114" s="182" t="s">
        <v>99</v>
      </c>
      <c r="E114" s="182" t="s">
        <v>100</v>
      </c>
      <c r="F114" s="182" t="s">
        <v>157</v>
      </c>
      <c r="G114" s="183"/>
      <c r="H114" s="184" t="str">
        <f>"Bokfört värde"</f>
        <v>Bokfört värde</v>
      </c>
      <c r="I114" s="185"/>
      <c r="J114" s="186"/>
    </row>
    <row r="115" spans="1:10" s="153" customFormat="1" ht="15.75">
      <c r="A115" s="135"/>
      <c r="B115" s="188" t="s">
        <v>142</v>
      </c>
      <c r="C115" s="189">
        <f>IF(ISERROR(VillkorAr1_176),0,VillkorAr1_176)</f>
        <v>77183231</v>
      </c>
      <c r="D115" s="189">
        <f>IF(ISERROR(VillkorAr1_177),0,VillkorAr1_177)</f>
        <v>370147</v>
      </c>
      <c r="E115" s="190">
        <f>D115/C115</f>
        <v>0.004795691955419695</v>
      </c>
      <c r="F115" s="189">
        <f>IF(ISERROR(VillkorAr1_178),0,VillkorAr1_178)</f>
        <v>-2844633</v>
      </c>
      <c r="G115" s="189"/>
      <c r="H115" s="189">
        <f>C115+F115</f>
        <v>74338598</v>
      </c>
      <c r="I115" s="179"/>
      <c r="J115" s="191"/>
    </row>
    <row r="116" spans="1:10" s="153" customFormat="1" ht="15.75" hidden="1">
      <c r="A116" s="135"/>
      <c r="B116" s="188" t="s">
        <v>174</v>
      </c>
      <c r="C116" s="134">
        <f>IF(ISERROR(VillkorAr1_197),0,VillkorAr1_197)</f>
        <v>0</v>
      </c>
      <c r="D116" s="134">
        <f>IF(ISERROR(VillkorAr1_198),0,VillkorAr1_198)</f>
        <v>0</v>
      </c>
      <c r="E116" s="192" t="e">
        <f>D116/C116</f>
        <v>#DIV/0!</v>
      </c>
      <c r="F116" s="134">
        <f>IF(ISERROR(VillkorAr1_199),0,VillkorAr1_199)</f>
        <v>0</v>
      </c>
      <c r="G116" s="178"/>
      <c r="H116" s="178">
        <f>C116+F116</f>
        <v>0</v>
      </c>
      <c r="I116" s="179"/>
      <c r="J116" s="191"/>
    </row>
    <row r="117" spans="1:10" s="153" customFormat="1" ht="15.75" hidden="1">
      <c r="A117" s="135"/>
      <c r="B117" s="188" t="s">
        <v>143</v>
      </c>
      <c r="C117" s="170">
        <f>IF(ISERROR(VillkorAr1_179),0,VillkorAr1_179)</f>
        <v>0</v>
      </c>
      <c r="D117" s="170">
        <f>IF(ISERROR(VillkorAr1_180),0,VillkorAr1_180)</f>
        <v>0</v>
      </c>
      <c r="E117" s="193" t="e">
        <f>D117/C117</f>
        <v>#DIV/0!</v>
      </c>
      <c r="F117" s="170">
        <f>IF(ISERROR(VillkorAr1_181),0,VillkorAr1_181)</f>
        <v>0</v>
      </c>
      <c r="G117" s="170"/>
      <c r="H117" s="170">
        <f>C117+F117</f>
        <v>0</v>
      </c>
      <c r="I117" s="179"/>
      <c r="J117" s="191"/>
    </row>
    <row r="118" spans="1:10" s="153" customFormat="1" ht="15.75">
      <c r="A118" s="135"/>
      <c r="B118" s="135"/>
      <c r="C118" s="134">
        <f>SUM(C115:C117)</f>
        <v>77183231</v>
      </c>
      <c r="D118" s="134">
        <f>SUM(D115:D117)</f>
        <v>370147</v>
      </c>
      <c r="E118" s="192"/>
      <c r="F118" s="134">
        <f>SUM(F115:F117)</f>
        <v>-2844633</v>
      </c>
      <c r="G118" s="178"/>
      <c r="H118" s="178">
        <f>SUM(H115:H117)</f>
        <v>74338598</v>
      </c>
      <c r="I118" s="179"/>
      <c r="J118" s="191"/>
    </row>
    <row r="119" spans="1:10" ht="9.75" customHeight="1">
      <c r="A119" s="150"/>
      <c r="B119" s="150"/>
      <c r="C119" s="150"/>
      <c r="D119" s="150"/>
      <c r="E119" s="150"/>
      <c r="F119" s="134"/>
      <c r="G119" s="165"/>
      <c r="H119" s="134"/>
      <c r="I119" s="179"/>
      <c r="J119" s="180"/>
    </row>
    <row r="120" spans="1:10" s="153" customFormat="1" ht="33" customHeight="1" hidden="1">
      <c r="A120" s="135"/>
      <c r="B120" s="289" t="s">
        <v>119</v>
      </c>
      <c r="C120" s="290"/>
      <c r="D120" s="290"/>
      <c r="E120" s="290"/>
      <c r="F120" s="290"/>
      <c r="G120" s="290"/>
      <c r="H120" s="290"/>
      <c r="I120" s="179"/>
      <c r="J120" s="191"/>
    </row>
    <row r="121" spans="1:10" ht="9.75" customHeight="1" hidden="1">
      <c r="A121" s="150"/>
      <c r="B121" s="150"/>
      <c r="C121" s="150"/>
      <c r="D121" s="150"/>
      <c r="E121" s="150"/>
      <c r="F121" s="134"/>
      <c r="G121" s="165"/>
      <c r="H121" s="134"/>
      <c r="I121" s="179"/>
      <c r="J121" s="180"/>
    </row>
    <row r="122" spans="1:10" s="187" customFormat="1" ht="26.25" customHeight="1" hidden="1">
      <c r="A122" s="181"/>
      <c r="B122" s="181"/>
      <c r="C122" s="195" t="s">
        <v>98</v>
      </c>
      <c r="D122" s="195" t="s">
        <v>99</v>
      </c>
      <c r="E122" s="195" t="s">
        <v>100</v>
      </c>
      <c r="F122" s="195" t="s">
        <v>102</v>
      </c>
      <c r="G122" s="196"/>
      <c r="H122" s="195" t="str">
        <f>"Bokfört värde"</f>
        <v>Bokfört värde</v>
      </c>
      <c r="I122" s="185"/>
      <c r="J122" s="186"/>
    </row>
    <row r="123" spans="1:10" s="201" customFormat="1" ht="15.75" hidden="1">
      <c r="A123" s="147"/>
      <c r="B123" s="188" t="s">
        <v>106</v>
      </c>
      <c r="C123" s="197">
        <f>IF(ISERROR(VillkorAr1_182),0,VillkorAr1_182)</f>
        <v>0</v>
      </c>
      <c r="D123" s="197"/>
      <c r="E123" s="198"/>
      <c r="F123" s="197"/>
      <c r="G123" s="197"/>
      <c r="H123" s="197">
        <f>C123</f>
        <v>0</v>
      </c>
      <c r="I123" s="199"/>
      <c r="J123" s="200"/>
    </row>
    <row r="124" spans="1:10" s="201" customFormat="1" ht="15.75" hidden="1">
      <c r="A124" s="147"/>
      <c r="B124" s="188" t="s">
        <v>116</v>
      </c>
      <c r="C124" s="170">
        <f>IF(ISERROR(VillkorAr1_185),0,VillkorAr1_185)</f>
        <v>0</v>
      </c>
      <c r="D124" s="170">
        <f>IF(ISERROR(VillkorAr1_186),0,VillkorAr1_186)</f>
        <v>0</v>
      </c>
      <c r="E124" s="193" t="e">
        <f>D124/C124</f>
        <v>#DIV/0!</v>
      </c>
      <c r="F124" s="170">
        <f>IF(ISERROR(VillkorAr1_187),0,VillkorAr1_187)</f>
        <v>0</v>
      </c>
      <c r="G124" s="170"/>
      <c r="H124" s="170">
        <f>C124+F124</f>
        <v>0</v>
      </c>
      <c r="I124" s="199"/>
      <c r="J124" s="200"/>
    </row>
    <row r="125" spans="1:10" s="153" customFormat="1" ht="15.75" hidden="1">
      <c r="A125" s="135"/>
      <c r="B125" s="135"/>
      <c r="C125" s="178">
        <f>SUM(C123:C124)</f>
        <v>0</v>
      </c>
      <c r="D125" s="178">
        <f>SUM(D123:D124)</f>
        <v>0</v>
      </c>
      <c r="E125" s="178"/>
      <c r="F125" s="178">
        <f>SUM(F123:F124)</f>
        <v>0</v>
      </c>
      <c r="G125" s="178"/>
      <c r="H125" s="178">
        <f>SUM(H123:H124)</f>
        <v>0</v>
      </c>
      <c r="I125" s="179"/>
      <c r="J125" s="191"/>
    </row>
    <row r="126" spans="1:10" ht="9.75" customHeight="1" hidden="1">
      <c r="A126" s="150"/>
      <c r="B126" s="150"/>
      <c r="C126" s="150"/>
      <c r="D126" s="150"/>
      <c r="E126" s="150"/>
      <c r="F126" s="134"/>
      <c r="G126" s="165"/>
      <c r="H126" s="134"/>
      <c r="I126" s="179"/>
      <c r="J126" s="180"/>
    </row>
    <row r="127" spans="1:10" s="153" customFormat="1" ht="33" customHeight="1" hidden="1">
      <c r="A127" s="135"/>
      <c r="B127" s="289" t="s">
        <v>119</v>
      </c>
      <c r="C127" s="290"/>
      <c r="D127" s="290"/>
      <c r="E127" s="290"/>
      <c r="F127" s="290"/>
      <c r="G127" s="290"/>
      <c r="H127" s="290"/>
      <c r="I127" s="179"/>
      <c r="J127" s="191"/>
    </row>
    <row r="128" spans="1:10" s="153" customFormat="1" ht="10.5" customHeight="1" hidden="1">
      <c r="A128" s="135"/>
      <c r="B128" s="194"/>
      <c r="C128" s="167"/>
      <c r="D128" s="167"/>
      <c r="E128" s="167"/>
      <c r="F128" s="167"/>
      <c r="G128" s="167"/>
      <c r="H128" s="167"/>
      <c r="I128" s="179"/>
      <c r="J128" s="191"/>
    </row>
    <row r="129" spans="1:10" s="153" customFormat="1" ht="15.75">
      <c r="A129" s="135"/>
      <c r="B129" s="150" t="s">
        <v>105</v>
      </c>
      <c r="C129" s="135"/>
      <c r="D129" s="135"/>
      <c r="E129" s="135"/>
      <c r="F129" s="134"/>
      <c r="G129" s="165"/>
      <c r="H129" s="134"/>
      <c r="I129" s="179"/>
      <c r="J129" s="191"/>
    </row>
    <row r="130" spans="1:10" ht="9.75" customHeight="1">
      <c r="A130" s="150"/>
      <c r="B130" s="150"/>
      <c r="C130" s="150"/>
      <c r="D130" s="150"/>
      <c r="E130" s="150"/>
      <c r="F130" s="134"/>
      <c r="G130" s="165"/>
      <c r="H130" s="134"/>
      <c r="I130" s="179"/>
      <c r="J130" s="180"/>
    </row>
    <row r="131" spans="1:10" s="153" customFormat="1" ht="15.75">
      <c r="A131" s="135"/>
      <c r="B131" s="135"/>
      <c r="C131" s="202"/>
      <c r="D131" s="202"/>
      <c r="E131" s="202"/>
      <c r="F131" s="203">
        <f>Ar_1</f>
        <v>39447</v>
      </c>
      <c r="G131" s="204"/>
      <c r="H131" s="203">
        <f>Ar_2</f>
        <v>39082</v>
      </c>
      <c r="I131" s="179"/>
      <c r="J131" s="191"/>
    </row>
    <row r="132" spans="1:10" s="201" customFormat="1" ht="15.75">
      <c r="A132" s="147"/>
      <c r="B132" s="188"/>
      <c r="C132" s="178"/>
      <c r="D132" s="178"/>
      <c r="E132" s="205"/>
      <c r="F132" s="197">
        <v>107220000</v>
      </c>
      <c r="G132" s="178"/>
      <c r="H132" s="197">
        <v>86057000</v>
      </c>
      <c r="I132" s="199"/>
      <c r="J132" s="200"/>
    </row>
    <row r="133" spans="1:10" s="208" customFormat="1" ht="15.75">
      <c r="A133" s="206"/>
      <c r="B133" s="188"/>
      <c r="C133" s="131"/>
      <c r="D133" s="131"/>
      <c r="E133" s="131"/>
      <c r="F133" s="131"/>
      <c r="G133" s="131"/>
      <c r="H133" s="131"/>
      <c r="I133" s="199"/>
      <c r="J133" s="207"/>
    </row>
    <row r="134" spans="1:10" ht="15.75" hidden="1">
      <c r="A134" s="150"/>
      <c r="B134" s="135"/>
      <c r="F134" s="131"/>
      <c r="G134" s="131"/>
      <c r="H134" s="131"/>
      <c r="I134" s="179"/>
      <c r="J134" s="180"/>
    </row>
    <row r="135" spans="1:10" ht="9.75" customHeight="1" hidden="1">
      <c r="A135" s="150"/>
      <c r="B135" s="150"/>
      <c r="C135" s="150"/>
      <c r="D135" s="150"/>
      <c r="E135" s="150"/>
      <c r="F135" s="134"/>
      <c r="G135" s="165"/>
      <c r="H135" s="134"/>
      <c r="I135" s="179"/>
      <c r="J135" s="180"/>
    </row>
    <row r="136" spans="1:10" ht="15.75" hidden="1">
      <c r="A136" s="150" t="str">
        <f>Balansräkning!E13</f>
        <v>Not 8</v>
      </c>
      <c r="B136" s="150" t="s">
        <v>70</v>
      </c>
      <c r="C136" s="150"/>
      <c r="D136" s="150"/>
      <c r="E136" s="150"/>
      <c r="F136" s="134"/>
      <c r="G136" s="165"/>
      <c r="H136" s="134"/>
      <c r="I136" s="179"/>
      <c r="J136" s="180"/>
    </row>
    <row r="137" spans="1:10" ht="15.75" hidden="1">
      <c r="A137" s="150"/>
      <c r="B137" s="150"/>
      <c r="C137" s="150"/>
      <c r="D137" s="150"/>
      <c r="E137" s="150"/>
      <c r="F137" s="134"/>
      <c r="G137" s="165"/>
      <c r="H137" s="134"/>
      <c r="I137" s="179"/>
      <c r="J137" s="180"/>
    </row>
    <row r="138" spans="1:10" s="187" customFormat="1" ht="26.25" customHeight="1" hidden="1">
      <c r="A138" s="181"/>
      <c r="B138" s="181"/>
      <c r="C138" s="182" t="s">
        <v>98</v>
      </c>
      <c r="D138" s="182" t="s">
        <v>99</v>
      </c>
      <c r="E138" s="182" t="s">
        <v>100</v>
      </c>
      <c r="F138" s="182" t="s">
        <v>102</v>
      </c>
      <c r="G138" s="183"/>
      <c r="H138" s="182" t="s">
        <v>101</v>
      </c>
      <c r="I138" s="185"/>
      <c r="J138" s="186"/>
    </row>
    <row r="139" spans="1:10" s="201" customFormat="1" ht="15.75" hidden="1">
      <c r="A139" s="147"/>
      <c r="B139" s="188" t="s">
        <v>103</v>
      </c>
      <c r="C139" s="178"/>
      <c r="D139" s="178"/>
      <c r="E139" s="205"/>
      <c r="F139" s="178"/>
      <c r="G139" s="178"/>
      <c r="H139" s="178">
        <f>C139+F139</f>
        <v>0</v>
      </c>
      <c r="I139" s="199"/>
      <c r="J139" s="200"/>
    </row>
    <row r="140" spans="1:10" s="201" customFormat="1" ht="15.75" hidden="1">
      <c r="A140" s="147"/>
      <c r="B140" s="188" t="s">
        <v>104</v>
      </c>
      <c r="C140" s="178"/>
      <c r="D140" s="178"/>
      <c r="E140" s="205"/>
      <c r="F140" s="178"/>
      <c r="G140" s="178"/>
      <c r="H140" s="178">
        <f>C140+F140</f>
        <v>0</v>
      </c>
      <c r="I140" s="199"/>
      <c r="J140" s="200"/>
    </row>
    <row r="141" spans="1:10" s="153" customFormat="1" ht="15.75" hidden="1">
      <c r="A141" s="135"/>
      <c r="B141" s="135"/>
      <c r="C141" s="209">
        <f>SUM(C139:C140)</f>
        <v>0</v>
      </c>
      <c r="D141" s="209">
        <f>SUM(D139:D140)</f>
        <v>0</v>
      </c>
      <c r="E141" s="209"/>
      <c r="F141" s="209">
        <f>SUM(F139:F140)</f>
        <v>0</v>
      </c>
      <c r="G141" s="209"/>
      <c r="H141" s="209">
        <f>SUM(H139:H140)</f>
        <v>0</v>
      </c>
      <c r="I141" s="179"/>
      <c r="J141" s="191"/>
    </row>
    <row r="142" spans="1:10" ht="9.75" customHeight="1" hidden="1">
      <c r="A142" s="150"/>
      <c r="B142" s="150"/>
      <c r="C142" s="150"/>
      <c r="D142" s="150"/>
      <c r="E142" s="150"/>
      <c r="F142" s="134"/>
      <c r="G142" s="165"/>
      <c r="H142" s="134"/>
      <c r="I142" s="179"/>
      <c r="J142" s="180"/>
    </row>
    <row r="143" spans="1:10" s="153" customFormat="1" ht="33" customHeight="1" hidden="1">
      <c r="A143" s="135"/>
      <c r="B143" s="289" t="s">
        <v>119</v>
      </c>
      <c r="C143" s="290"/>
      <c r="D143" s="290"/>
      <c r="E143" s="290"/>
      <c r="F143" s="290"/>
      <c r="G143" s="290"/>
      <c r="H143" s="290"/>
      <c r="I143" s="179"/>
      <c r="J143" s="191"/>
    </row>
    <row r="144" spans="1:14" ht="15.75" hidden="1">
      <c r="A144" s="150"/>
      <c r="B144" s="150"/>
      <c r="C144" s="150"/>
      <c r="D144" s="150"/>
      <c r="E144" s="150"/>
      <c r="F144" s="210"/>
      <c r="G144" s="211"/>
      <c r="H144" s="210"/>
      <c r="I144" s="150"/>
      <c r="J144" s="212"/>
      <c r="K144" s="150"/>
      <c r="L144" s="150"/>
      <c r="M144" s="150"/>
      <c r="N144" s="150"/>
    </row>
    <row r="145" spans="1:9" s="146" customFormat="1" ht="18.75" customHeight="1" hidden="1" thickBot="1">
      <c r="A145" s="141" t="s">
        <v>48</v>
      </c>
      <c r="B145" s="142"/>
      <c r="C145" s="142"/>
      <c r="D145" s="142"/>
      <c r="E145" s="142"/>
      <c r="F145" s="143">
        <f>Ar_1</f>
        <v>39447</v>
      </c>
      <c r="G145" s="144"/>
      <c r="H145" s="143">
        <f>Ar_2</f>
        <v>39082</v>
      </c>
      <c r="I145" s="145"/>
    </row>
    <row r="146" spans="1:9" ht="15.75" customHeight="1" hidden="1">
      <c r="A146" s="147"/>
      <c r="B146" s="147"/>
      <c r="C146" s="147"/>
      <c r="D146" s="147"/>
      <c r="E146" s="147"/>
      <c r="F146" s="148"/>
      <c r="G146" s="149"/>
      <c r="H146" s="148"/>
      <c r="I146" s="149"/>
    </row>
    <row r="147" spans="1:14" ht="15.75" hidden="1">
      <c r="A147" s="150" t="str">
        <f>Balansräkning!E14</f>
        <v>Not 9</v>
      </c>
      <c r="B147" s="150" t="s">
        <v>25</v>
      </c>
      <c r="C147" s="150"/>
      <c r="D147" s="150"/>
      <c r="E147" s="150"/>
      <c r="F147" s="210"/>
      <c r="G147" s="211"/>
      <c r="H147" s="210"/>
      <c r="I147" s="150"/>
      <c r="J147" s="212"/>
      <c r="K147" s="150"/>
      <c r="L147" s="150"/>
      <c r="M147" s="150"/>
      <c r="N147" s="150"/>
    </row>
    <row r="148" spans="2:10" s="135" customFormat="1" ht="15.75" hidden="1">
      <c r="B148" s="167"/>
      <c r="F148" s="134"/>
      <c r="G148" s="174"/>
      <c r="H148" s="134"/>
      <c r="J148" s="169"/>
    </row>
    <row r="149" spans="6:10" s="135" customFormat="1" ht="15.75" hidden="1">
      <c r="F149" s="134"/>
      <c r="G149" s="174"/>
      <c r="H149" s="134"/>
      <c r="J149" s="169"/>
    </row>
    <row r="150" spans="1:14" ht="15.75" hidden="1">
      <c r="A150" s="150" t="str">
        <f>Balansräkning!E15</f>
        <v>Not 10</v>
      </c>
      <c r="B150" s="150" t="s">
        <v>140</v>
      </c>
      <c r="C150" s="150"/>
      <c r="D150" s="150"/>
      <c r="E150" s="150"/>
      <c r="F150" s="210"/>
      <c r="G150" s="211"/>
      <c r="H150" s="210"/>
      <c r="I150" s="150"/>
      <c r="J150" s="212"/>
      <c r="K150" s="150"/>
      <c r="L150" s="150"/>
      <c r="M150" s="150"/>
      <c r="N150" s="150"/>
    </row>
    <row r="151" spans="2:10" s="135" customFormat="1" ht="15.75" hidden="1">
      <c r="B151" s="167"/>
      <c r="F151" s="134"/>
      <c r="G151" s="174"/>
      <c r="H151" s="134"/>
      <c r="J151" s="169"/>
    </row>
    <row r="152" spans="6:10" s="135" customFormat="1" ht="15.75" hidden="1">
      <c r="F152" s="134"/>
      <c r="G152" s="174"/>
      <c r="H152" s="134"/>
      <c r="J152" s="169"/>
    </row>
    <row r="153" spans="1:14" ht="15.75">
      <c r="A153" s="150" t="str">
        <f>Balansräkning!E19</f>
        <v>Not 6</v>
      </c>
      <c r="B153" s="150" t="s">
        <v>26</v>
      </c>
      <c r="C153" s="150"/>
      <c r="D153" s="150"/>
      <c r="E153" s="150"/>
      <c r="F153" s="210"/>
      <c r="G153" s="211"/>
      <c r="H153" s="210"/>
      <c r="I153" s="150"/>
      <c r="J153" s="212"/>
      <c r="K153" s="150"/>
      <c r="L153" s="150"/>
      <c r="M153" s="150"/>
      <c r="N153" s="150"/>
    </row>
    <row r="154" spans="1:14" ht="15.75">
      <c r="A154" s="150"/>
      <c r="B154" s="167" t="s">
        <v>186</v>
      </c>
      <c r="C154" s="150"/>
      <c r="D154" s="150"/>
      <c r="E154" s="150"/>
      <c r="F154" s="170">
        <v>500</v>
      </c>
      <c r="G154" s="211"/>
      <c r="H154" s="170">
        <v>500</v>
      </c>
      <c r="I154" s="150"/>
      <c r="J154" s="212"/>
      <c r="K154" s="150"/>
      <c r="L154" s="150"/>
      <c r="M154" s="150"/>
      <c r="N154" s="150"/>
    </row>
    <row r="155" spans="1:14" s="153" customFormat="1" ht="15.75" hidden="1">
      <c r="A155" s="135"/>
      <c r="B155" s="167" t="s">
        <v>133</v>
      </c>
      <c r="C155" s="135"/>
      <c r="D155" s="135"/>
      <c r="E155" s="135"/>
      <c r="F155" s="134">
        <f>IF(ISERROR(VillkorAr1_169),0,VillkorAr1_169)</f>
        <v>0</v>
      </c>
      <c r="G155" s="211"/>
      <c r="H155" s="134">
        <f>IF(ISERROR(VillkorAr2_169),0,VillkorAr2_169)</f>
        <v>0</v>
      </c>
      <c r="I155" s="135"/>
      <c r="J155" s="169"/>
      <c r="K155" s="135"/>
      <c r="L155" s="135"/>
      <c r="M155" s="135"/>
      <c r="N155" s="135"/>
    </row>
    <row r="156" spans="1:14" s="153" customFormat="1" ht="15.75" hidden="1">
      <c r="A156" s="135"/>
      <c r="B156" s="167" t="s">
        <v>134</v>
      </c>
      <c r="C156" s="135"/>
      <c r="D156" s="135"/>
      <c r="E156" s="135"/>
      <c r="F156" s="170">
        <f>IF(ISERROR(VillkorAr1_170),0,VillkorAr1_170)</f>
        <v>0</v>
      </c>
      <c r="G156" s="211"/>
      <c r="H156" s="170">
        <f>IF(ISERROR(VillkorAr2_170),0,VillkorAr2_170)</f>
        <v>0</v>
      </c>
      <c r="I156" s="135"/>
      <c r="J156" s="169"/>
      <c r="K156" s="135"/>
      <c r="L156" s="135"/>
      <c r="M156" s="135"/>
      <c r="N156" s="135"/>
    </row>
    <row r="157" spans="1:14" s="153" customFormat="1" ht="15.75">
      <c r="A157" s="135"/>
      <c r="B157" s="167" t="s">
        <v>147</v>
      </c>
      <c r="C157" s="135"/>
      <c r="D157" s="135"/>
      <c r="E157" s="135"/>
      <c r="F157" s="134">
        <f>SUM(F154:F156)</f>
        <v>500</v>
      </c>
      <c r="G157" s="211"/>
      <c r="H157" s="134">
        <f>SUM(H154:H156)</f>
        <v>500</v>
      </c>
      <c r="I157" s="135"/>
      <c r="J157" s="169"/>
      <c r="K157" s="135"/>
      <c r="L157" s="135"/>
      <c r="M157" s="135"/>
      <c r="N157" s="135"/>
    </row>
    <row r="158" spans="1:14" s="153" customFormat="1" ht="15.75">
      <c r="A158" s="135"/>
      <c r="B158" s="135"/>
      <c r="C158" s="135"/>
      <c r="D158" s="135"/>
      <c r="E158" s="135"/>
      <c r="F158" s="134"/>
      <c r="G158" s="174"/>
      <c r="H158" s="134"/>
      <c r="I158" s="135"/>
      <c r="J158" s="169"/>
      <c r="K158" s="135"/>
      <c r="L158" s="135"/>
      <c r="M158" s="135"/>
      <c r="N158" s="135"/>
    </row>
    <row r="159" spans="1:14" ht="15.75" hidden="1">
      <c r="A159" s="150" t="str">
        <f>Balansräkning!E27</f>
        <v>Not 12</v>
      </c>
      <c r="B159" s="150" t="s">
        <v>95</v>
      </c>
      <c r="C159" s="150"/>
      <c r="D159" s="150"/>
      <c r="E159" s="150"/>
      <c r="F159" s="210"/>
      <c r="G159" s="211"/>
      <c r="H159" s="210"/>
      <c r="I159" s="150"/>
      <c r="J159" s="212"/>
      <c r="K159" s="150"/>
      <c r="L159" s="150"/>
      <c r="M159" s="150"/>
      <c r="N159" s="150"/>
    </row>
    <row r="160" spans="2:10" s="135" customFormat="1" ht="15.75" hidden="1">
      <c r="B160" s="167"/>
      <c r="F160" s="134"/>
      <c r="G160" s="174"/>
      <c r="H160" s="134"/>
      <c r="J160" s="169"/>
    </row>
    <row r="161" spans="1:14" ht="15.75" hidden="1">
      <c r="A161" s="150"/>
      <c r="B161" s="150"/>
      <c r="C161" s="150"/>
      <c r="D161" s="150"/>
      <c r="E161" s="150"/>
      <c r="F161" s="210"/>
      <c r="G161" s="211"/>
      <c r="H161" s="210"/>
      <c r="I161" s="150"/>
      <c r="J161" s="212"/>
      <c r="K161" s="150"/>
      <c r="L161" s="150"/>
      <c r="M161" s="150"/>
      <c r="N161" s="150"/>
    </row>
    <row r="162" spans="1:14" ht="15.75">
      <c r="A162" s="150" t="str">
        <f>Balansräkning!E31</f>
        <v>Not 7</v>
      </c>
      <c r="B162" s="150" t="s">
        <v>31</v>
      </c>
      <c r="C162" s="150"/>
      <c r="D162" s="150"/>
      <c r="E162" s="150"/>
      <c r="F162" s="210"/>
      <c r="G162" s="211"/>
      <c r="H162" s="210"/>
      <c r="I162" s="150"/>
      <c r="J162" s="212"/>
      <c r="K162" s="150"/>
      <c r="L162" s="150"/>
      <c r="M162" s="150"/>
      <c r="N162" s="150"/>
    </row>
    <row r="163" spans="1:14" ht="15.75">
      <c r="A163" s="150"/>
      <c r="B163" s="167" t="s">
        <v>417</v>
      </c>
      <c r="C163" s="135"/>
      <c r="D163" s="135"/>
      <c r="E163" s="135"/>
      <c r="F163" s="170">
        <f>IF(ISERROR(VillkorAr1_154),0,VillkorAr1_154)</f>
        <v>11713</v>
      </c>
      <c r="G163" s="211"/>
      <c r="H163" s="170">
        <f>IF(ISERROR(VillkorAr2_154),0,VillkorAr2_154)</f>
        <v>792</v>
      </c>
      <c r="I163" s="150"/>
      <c r="J163" s="212"/>
      <c r="K163" s="150"/>
      <c r="L163" s="150"/>
      <c r="M163" s="150"/>
      <c r="N163" s="150"/>
    </row>
    <row r="164" spans="2:14" ht="15.75" hidden="1">
      <c r="B164" s="167" t="s">
        <v>84</v>
      </c>
      <c r="C164" s="135"/>
      <c r="D164" s="135"/>
      <c r="E164" s="135"/>
      <c r="F164" s="170">
        <f>IF(ISERROR(VillkorAr1_155),0,VillkorAr1_155)</f>
        <v>0</v>
      </c>
      <c r="G164" s="211"/>
      <c r="H164" s="170">
        <f>IF(ISERROR(VillkorAr2_155),0,VillkorAr2_155)</f>
        <v>0</v>
      </c>
      <c r="I164" s="150"/>
      <c r="J164" s="212"/>
      <c r="K164" s="150"/>
      <c r="L164" s="150"/>
      <c r="M164" s="150"/>
      <c r="N164" s="150"/>
    </row>
    <row r="165" spans="2:10" s="135" customFormat="1" ht="15.75">
      <c r="B165" s="167" t="s">
        <v>160</v>
      </c>
      <c r="F165" s="134">
        <f>SUM(F163:F164)</f>
        <v>11713</v>
      </c>
      <c r="G165" s="165"/>
      <c r="H165" s="134">
        <f>SUM(H163:H164)</f>
        <v>792</v>
      </c>
      <c r="J165" s="169"/>
    </row>
    <row r="166" spans="1:14" ht="15.75">
      <c r="A166" s="150"/>
      <c r="B166" s="150"/>
      <c r="C166" s="150"/>
      <c r="D166" s="150"/>
      <c r="E166" s="150"/>
      <c r="F166" s="210"/>
      <c r="G166" s="211"/>
      <c r="H166" s="210"/>
      <c r="I166" s="150"/>
      <c r="J166" s="212"/>
      <c r="K166" s="150"/>
      <c r="L166" s="150"/>
      <c r="M166" s="150"/>
      <c r="N166" s="150"/>
    </row>
    <row r="167" spans="1:14" ht="15.75">
      <c r="A167" s="150" t="str">
        <f>Balansräkning!E32</f>
        <v>Not 8</v>
      </c>
      <c r="B167" s="150" t="s">
        <v>32</v>
      </c>
      <c r="C167" s="150"/>
      <c r="D167" s="150"/>
      <c r="E167" s="150"/>
      <c r="F167" s="210"/>
      <c r="G167" s="211"/>
      <c r="H167" s="210"/>
      <c r="I167" s="150"/>
      <c r="J167" s="212"/>
      <c r="K167" s="150"/>
      <c r="L167" s="150"/>
      <c r="M167" s="150"/>
      <c r="N167" s="150"/>
    </row>
    <row r="168" spans="1:14" s="153" customFormat="1" ht="15.75">
      <c r="A168" s="135"/>
      <c r="B168" s="167" t="s">
        <v>418</v>
      </c>
      <c r="C168" s="135"/>
      <c r="D168" s="135"/>
      <c r="E168" s="135"/>
      <c r="F168" s="134">
        <v>59472</v>
      </c>
      <c r="G168" s="174"/>
      <c r="H168" s="134"/>
      <c r="I168" s="135"/>
      <c r="J168" s="169"/>
      <c r="K168" s="135"/>
      <c r="L168" s="135"/>
      <c r="M168" s="135"/>
      <c r="N168" s="135"/>
    </row>
    <row r="169" spans="1:14" s="153" customFormat="1" ht="15.75">
      <c r="A169" s="135"/>
      <c r="B169" s="167" t="s">
        <v>51</v>
      </c>
      <c r="C169" s="135"/>
      <c r="D169" s="135"/>
      <c r="E169" s="135"/>
      <c r="F169" s="134">
        <v>105250</v>
      </c>
      <c r="G169" s="174"/>
      <c r="H169" s="134"/>
      <c r="I169" s="135"/>
      <c r="J169" s="169"/>
      <c r="K169" s="135"/>
      <c r="L169" s="135"/>
      <c r="M169" s="135"/>
      <c r="N169" s="135"/>
    </row>
    <row r="170" spans="1:14" s="153" customFormat="1" ht="15.75">
      <c r="A170" s="135"/>
      <c r="B170" s="167" t="s">
        <v>297</v>
      </c>
      <c r="C170" s="135"/>
      <c r="D170" s="135"/>
      <c r="E170" s="135"/>
      <c r="F170" s="134">
        <v>13938</v>
      </c>
      <c r="G170" s="174"/>
      <c r="H170" s="134"/>
      <c r="I170" s="135"/>
      <c r="J170" s="169"/>
      <c r="K170" s="135"/>
      <c r="L170" s="135"/>
      <c r="M170" s="135"/>
      <c r="N170" s="135"/>
    </row>
    <row r="171" spans="1:14" s="153" customFormat="1" ht="15.75">
      <c r="A171" s="135"/>
      <c r="B171" s="167" t="s">
        <v>419</v>
      </c>
      <c r="C171" s="135"/>
      <c r="D171" s="135"/>
      <c r="E171" s="135"/>
      <c r="F171" s="134">
        <v>20850</v>
      </c>
      <c r="G171" s="174"/>
      <c r="H171" s="134"/>
      <c r="I171" s="135"/>
      <c r="J171" s="169"/>
      <c r="K171" s="135"/>
      <c r="L171" s="135"/>
      <c r="M171" s="135"/>
      <c r="N171" s="135"/>
    </row>
    <row r="172" spans="1:14" s="153" customFormat="1" ht="15.75">
      <c r="A172" s="135"/>
      <c r="B172" s="167" t="s">
        <v>138</v>
      </c>
      <c r="C172" s="135"/>
      <c r="D172" s="135"/>
      <c r="E172" s="135"/>
      <c r="F172" s="134">
        <v>3515</v>
      </c>
      <c r="G172" s="174"/>
      <c r="H172" s="134"/>
      <c r="I172" s="135"/>
      <c r="J172" s="169"/>
      <c r="K172" s="135"/>
      <c r="L172" s="174"/>
      <c r="M172" s="135"/>
      <c r="N172" s="135"/>
    </row>
    <row r="173" spans="1:14" s="153" customFormat="1" ht="15.75" hidden="1">
      <c r="A173" s="135"/>
      <c r="B173" s="167"/>
      <c r="C173" s="135"/>
      <c r="D173" s="135"/>
      <c r="E173" s="135"/>
      <c r="F173" s="134"/>
      <c r="G173" s="174"/>
      <c r="I173" s="135"/>
      <c r="J173" s="169"/>
      <c r="K173" s="135"/>
      <c r="L173" s="135"/>
      <c r="M173" s="135"/>
      <c r="N173" s="135"/>
    </row>
    <row r="174" spans="2:10" s="135" customFormat="1" ht="15.75">
      <c r="B174" s="135" t="s">
        <v>161</v>
      </c>
      <c r="F174" s="197">
        <f>SUM(F167:F173)</f>
        <v>203025</v>
      </c>
      <c r="G174" s="174"/>
      <c r="J174" s="169"/>
    </row>
    <row r="175" spans="1:14" ht="15.75">
      <c r="A175" s="150"/>
      <c r="B175" s="150"/>
      <c r="C175" s="150"/>
      <c r="D175" s="150"/>
      <c r="E175" s="150"/>
      <c r="F175" s="210"/>
      <c r="G175" s="211"/>
      <c r="H175" s="178"/>
      <c r="I175" s="150"/>
      <c r="J175" s="212"/>
      <c r="K175" s="150"/>
      <c r="L175" s="150"/>
      <c r="M175" s="150"/>
      <c r="N175" s="150"/>
    </row>
    <row r="176" spans="1:14" ht="15.75" hidden="1">
      <c r="A176" s="150" t="str">
        <f>Balansräkning!E37</f>
        <v>Not 15</v>
      </c>
      <c r="B176" s="150" t="s">
        <v>33</v>
      </c>
      <c r="C176" s="150"/>
      <c r="D176" s="150"/>
      <c r="E176" s="150"/>
      <c r="F176" s="210"/>
      <c r="G176" s="211"/>
      <c r="H176" s="210"/>
      <c r="I176" s="150"/>
      <c r="J176" s="212"/>
      <c r="K176" s="150"/>
      <c r="L176" s="150"/>
      <c r="M176" s="150"/>
      <c r="N176" s="150"/>
    </row>
    <row r="177" spans="1:14" s="153" customFormat="1" ht="15.75" hidden="1">
      <c r="A177" s="135"/>
      <c r="B177" s="167" t="s">
        <v>135</v>
      </c>
      <c r="C177" s="135"/>
      <c r="D177" s="135"/>
      <c r="E177" s="135"/>
      <c r="F177" s="178">
        <f>IF(ISERROR(VillkorAr1_171),0,VillkorAr1_171)</f>
        <v>0</v>
      </c>
      <c r="G177" s="213"/>
      <c r="H177" s="178">
        <f>IF(ISERROR(VillkorAr2_171),0,VillkorAr2_171)</f>
        <v>0</v>
      </c>
      <c r="I177" s="135"/>
      <c r="J177" s="169"/>
      <c r="K177" s="135"/>
      <c r="L177" s="135"/>
      <c r="M177" s="135"/>
      <c r="N177" s="135"/>
    </row>
    <row r="178" spans="1:14" s="153" customFormat="1" ht="15.75" hidden="1">
      <c r="A178" s="135"/>
      <c r="B178" s="167" t="s">
        <v>136</v>
      </c>
      <c r="C178" s="135"/>
      <c r="D178" s="135"/>
      <c r="E178" s="135"/>
      <c r="F178" s="178">
        <f>IF(ISERROR(VillkorAr1_172),0,VillkorAr1_172)</f>
        <v>0</v>
      </c>
      <c r="G178" s="213"/>
      <c r="H178" s="178">
        <f>IF(ISERROR(VillkorAr2_172),0,VillkorAr2_172)</f>
        <v>0</v>
      </c>
      <c r="I178" s="135"/>
      <c r="J178" s="169"/>
      <c r="K178" s="135"/>
      <c r="L178" s="135"/>
      <c r="M178" s="135"/>
      <c r="N178" s="135"/>
    </row>
    <row r="179" spans="1:14" s="153" customFormat="1" ht="15.75" hidden="1">
      <c r="A179" s="135"/>
      <c r="B179" s="167" t="s">
        <v>137</v>
      </c>
      <c r="C179" s="135"/>
      <c r="D179" s="135"/>
      <c r="E179" s="135"/>
      <c r="F179" s="178">
        <f>IF(ISERROR(VillkorAr1_173),0,VillkorAr1_173)</f>
        <v>0</v>
      </c>
      <c r="G179" s="213"/>
      <c r="H179" s="178">
        <f>IF(ISERROR(VillkorAr2_173),0,VillkorAr2_173)</f>
        <v>0</v>
      </c>
      <c r="I179" s="135"/>
      <c r="J179" s="169"/>
      <c r="K179" s="135"/>
      <c r="L179" s="135"/>
      <c r="M179" s="135"/>
      <c r="N179" s="135"/>
    </row>
    <row r="180" spans="1:14" s="153" customFormat="1" ht="15.75" hidden="1">
      <c r="A180" s="135"/>
      <c r="B180" s="167" t="s">
        <v>168</v>
      </c>
      <c r="C180" s="135"/>
      <c r="D180" s="135"/>
      <c r="E180" s="135"/>
      <c r="F180" s="197">
        <f>SUM(F177:F179)</f>
        <v>0</v>
      </c>
      <c r="G180" s="174"/>
      <c r="H180" s="197">
        <f>SUM(H177:H179)</f>
        <v>0</v>
      </c>
      <c r="I180" s="135"/>
      <c r="J180" s="169"/>
      <c r="K180" s="135"/>
      <c r="L180" s="135"/>
      <c r="M180" s="135"/>
      <c r="N180" s="135"/>
    </row>
    <row r="181" spans="1:9" s="146" customFormat="1" ht="18.75" customHeight="1" hidden="1" thickBot="1">
      <c r="A181" s="141" t="s">
        <v>48</v>
      </c>
      <c r="B181" s="142"/>
      <c r="C181" s="142"/>
      <c r="D181" s="142"/>
      <c r="E181" s="142"/>
      <c r="F181" s="143">
        <f>Ar_1</f>
        <v>39447</v>
      </c>
      <c r="G181" s="144"/>
      <c r="H181" s="143">
        <f>Ar_2</f>
        <v>39082</v>
      </c>
      <c r="I181" s="145"/>
    </row>
    <row r="182" spans="1:9" ht="15.75" customHeight="1" hidden="1">
      <c r="A182" s="147"/>
      <c r="B182" s="147"/>
      <c r="C182" s="147"/>
      <c r="D182" s="147"/>
      <c r="E182" s="147"/>
      <c r="F182" s="148"/>
      <c r="G182" s="149"/>
      <c r="H182" s="148"/>
      <c r="I182" s="149"/>
    </row>
    <row r="183" spans="1:14" ht="15.75">
      <c r="A183" s="150" t="str">
        <f>Balansräkning!E51</f>
        <v>Not 9</v>
      </c>
      <c r="B183" s="150" t="s">
        <v>124</v>
      </c>
      <c r="C183" s="150"/>
      <c r="D183" s="150"/>
      <c r="E183" s="150"/>
      <c r="F183" s="210"/>
      <c r="G183" s="211"/>
      <c r="H183" s="210"/>
      <c r="I183" s="150"/>
      <c r="J183" s="212"/>
      <c r="K183" s="150"/>
      <c r="L183" s="150"/>
      <c r="M183" s="150"/>
      <c r="N183" s="150"/>
    </row>
    <row r="184" spans="1:14" s="153" customFormat="1" ht="15.75">
      <c r="A184" s="135"/>
      <c r="B184" s="135"/>
      <c r="C184" s="135"/>
      <c r="D184" s="135"/>
      <c r="E184" s="135"/>
      <c r="F184" s="214"/>
      <c r="G184" s="174"/>
      <c r="H184" s="134"/>
      <c r="I184" s="135"/>
      <c r="J184" s="169"/>
      <c r="K184" s="135"/>
      <c r="L184" s="135"/>
      <c r="M184" s="135"/>
      <c r="N184" s="135"/>
    </row>
    <row r="185" spans="1:14" ht="25.5">
      <c r="A185" s="150"/>
      <c r="C185" s="215" t="s">
        <v>38</v>
      </c>
      <c r="D185" s="216" t="s">
        <v>193</v>
      </c>
      <c r="E185" s="217" t="s">
        <v>423</v>
      </c>
      <c r="F185" s="216" t="s">
        <v>96</v>
      </c>
      <c r="G185" s="218"/>
      <c r="H185" s="218" t="s">
        <v>19</v>
      </c>
      <c r="I185" s="150"/>
      <c r="J185" s="212"/>
      <c r="K185" s="150"/>
      <c r="L185" s="150"/>
      <c r="M185" s="150"/>
      <c r="N185" s="150"/>
    </row>
    <row r="186" spans="1:14" s="153" customFormat="1" ht="15.75">
      <c r="A186" s="135"/>
      <c r="B186" s="219" t="s">
        <v>125</v>
      </c>
      <c r="C186" s="220"/>
      <c r="D186" s="220"/>
      <c r="E186" s="220"/>
      <c r="F186" s="220"/>
      <c r="G186" s="220"/>
      <c r="H186" s="220"/>
      <c r="I186" s="135"/>
      <c r="J186" s="169"/>
      <c r="K186" s="135"/>
      <c r="L186" s="135"/>
      <c r="M186" s="135"/>
      <c r="N186" s="135"/>
    </row>
    <row r="187" spans="1:14" s="153" customFormat="1" ht="15.75">
      <c r="A187" s="135"/>
      <c r="B187" s="221">
        <f>Ar_2+1</f>
        <v>39083</v>
      </c>
      <c r="C187" s="222">
        <f>InsatserFöregåendeÅr</f>
        <v>26910988</v>
      </c>
      <c r="D187" s="222">
        <f>UpplåtelseavgifterFöregåendeÅr</f>
        <v>4262361</v>
      </c>
      <c r="E187" s="222">
        <f>Balansräkning!I58</f>
        <v>1926670</v>
      </c>
      <c r="F187" s="222">
        <f>IF(DispositionsfondFöregåendeÅr=0,BalanseratResultatFöregåendeÅr,DispositionsfondFöregåendeÅr)</f>
        <v>3092249.86</v>
      </c>
      <c r="G187" s="222"/>
      <c r="H187" s="222">
        <f>ÅretsResultatFöregåendeÅr</f>
        <v>443269.8400000001</v>
      </c>
      <c r="I187" s="135"/>
      <c r="J187" s="169"/>
      <c r="K187" s="135"/>
      <c r="L187" s="135"/>
      <c r="M187" s="135"/>
      <c r="N187" s="135"/>
    </row>
    <row r="188" spans="1:14" s="153" customFormat="1" ht="4.5" customHeight="1">
      <c r="A188" s="135"/>
      <c r="B188" s="206"/>
      <c r="C188" s="222"/>
      <c r="D188" s="222"/>
      <c r="E188" s="222"/>
      <c r="F188" s="222"/>
      <c r="G188" s="222"/>
      <c r="H188" s="222"/>
      <c r="I188" s="135"/>
      <c r="J188" s="169"/>
      <c r="K188" s="135"/>
      <c r="L188" s="135"/>
      <c r="M188" s="135"/>
      <c r="N188" s="135"/>
    </row>
    <row r="189" spans="1:14" s="153" customFormat="1" ht="15.75">
      <c r="A189" s="135"/>
      <c r="B189" s="206" t="s">
        <v>126</v>
      </c>
      <c r="C189" s="222"/>
      <c r="D189" s="222"/>
      <c r="E189" s="222"/>
      <c r="F189" s="222"/>
      <c r="G189" s="222"/>
      <c r="H189" s="222"/>
      <c r="I189" s="135"/>
      <c r="J189" s="169"/>
      <c r="K189" s="135"/>
      <c r="L189" s="135"/>
      <c r="M189" s="135"/>
      <c r="N189" s="135"/>
    </row>
    <row r="190" spans="1:14" s="153" customFormat="1" ht="15.75">
      <c r="A190" s="135"/>
      <c r="B190" s="206" t="s">
        <v>127</v>
      </c>
      <c r="C190" s="222"/>
      <c r="D190" s="222"/>
      <c r="E190" s="222">
        <v>250000</v>
      </c>
      <c r="F190" s="222">
        <v>193270</v>
      </c>
      <c r="G190" s="222"/>
      <c r="H190" s="222">
        <v>-443270</v>
      </c>
      <c r="I190" s="135"/>
      <c r="J190" s="169"/>
      <c r="K190" s="135"/>
      <c r="L190" s="135"/>
      <c r="M190" s="135"/>
      <c r="N190" s="135"/>
    </row>
    <row r="191" spans="1:14" s="153" customFormat="1" ht="4.5" customHeight="1">
      <c r="A191" s="135"/>
      <c r="B191" s="206"/>
      <c r="C191" s="222"/>
      <c r="D191" s="222"/>
      <c r="E191" s="222"/>
      <c r="F191" s="222"/>
      <c r="G191" s="222"/>
      <c r="H191" s="223"/>
      <c r="I191" s="135"/>
      <c r="J191" s="169"/>
      <c r="K191" s="135"/>
      <c r="L191" s="135"/>
      <c r="M191" s="135"/>
      <c r="N191" s="135"/>
    </row>
    <row r="192" spans="1:14" s="153" customFormat="1" ht="15.75">
      <c r="A192" s="135"/>
      <c r="B192" s="206" t="s">
        <v>19</v>
      </c>
      <c r="C192" s="134"/>
      <c r="D192" s="134"/>
      <c r="E192" s="134"/>
      <c r="F192" s="134"/>
      <c r="G192" s="134"/>
      <c r="H192" s="134">
        <f>AretsResultat</f>
        <v>82098.6499999999</v>
      </c>
      <c r="I192" s="135"/>
      <c r="J192" s="169"/>
      <c r="K192" s="135"/>
      <c r="L192" s="135"/>
      <c r="M192" s="135"/>
      <c r="N192" s="135"/>
    </row>
    <row r="193" spans="1:14" s="153" customFormat="1" ht="4.5" customHeight="1">
      <c r="A193" s="135"/>
      <c r="B193" s="206"/>
      <c r="C193" s="134"/>
      <c r="D193" s="134"/>
      <c r="E193" s="134"/>
      <c r="F193" s="134"/>
      <c r="G193" s="134"/>
      <c r="H193" s="134"/>
      <c r="I193" s="135"/>
      <c r="J193" s="169"/>
      <c r="K193" s="135"/>
      <c r="L193" s="135"/>
      <c r="M193" s="135"/>
      <c r="N193" s="135"/>
    </row>
    <row r="194" spans="1:14" s="153" customFormat="1" ht="15.75">
      <c r="A194" s="135"/>
      <c r="B194" s="206" t="s">
        <v>128</v>
      </c>
      <c r="C194" s="134"/>
      <c r="D194" s="134"/>
      <c r="E194" s="134"/>
      <c r="F194" s="134"/>
      <c r="G194" s="134"/>
      <c r="H194" s="134"/>
      <c r="I194" s="135"/>
      <c r="J194" s="169"/>
      <c r="K194" s="135"/>
      <c r="L194" s="135"/>
      <c r="M194" s="135"/>
      <c r="N194" s="135"/>
    </row>
    <row r="195" spans="1:14" s="153" customFormat="1" ht="15.75">
      <c r="A195" s="135"/>
      <c r="B195" s="221">
        <f>Ar_1</f>
        <v>39447</v>
      </c>
      <c r="C195" s="134">
        <f>SUM(C187:C194)</f>
        <v>26910988</v>
      </c>
      <c r="D195" s="134">
        <f>SUM(D187:D194)</f>
        <v>4262361</v>
      </c>
      <c r="E195" s="134">
        <f>SUM(E187:E194)</f>
        <v>2176670</v>
      </c>
      <c r="F195" s="134">
        <f>SUM(F187:F194)</f>
        <v>3285519.86</v>
      </c>
      <c r="G195" s="134"/>
      <c r="H195" s="134">
        <f>SUM(H187:H194)</f>
        <v>82098.48999999999</v>
      </c>
      <c r="I195" s="135"/>
      <c r="J195" s="169"/>
      <c r="K195" s="135"/>
      <c r="L195" s="135"/>
      <c r="M195" s="135"/>
      <c r="N195" s="135"/>
    </row>
    <row r="196" spans="1:14" s="153" customFormat="1" ht="19.5" thickBot="1">
      <c r="A196" s="141" t="s">
        <v>48</v>
      </c>
      <c r="B196" s="142"/>
      <c r="C196" s="142"/>
      <c r="D196" s="142"/>
      <c r="E196" s="142"/>
      <c r="F196" s="143">
        <f>Ar_1</f>
        <v>39447</v>
      </c>
      <c r="G196" s="144"/>
      <c r="H196" s="143">
        <f>Ar_2</f>
        <v>39082</v>
      </c>
      <c r="I196" s="145"/>
      <c r="J196" s="169"/>
      <c r="K196" s="135"/>
      <c r="L196" s="135"/>
      <c r="M196" s="135"/>
      <c r="N196" s="135"/>
    </row>
    <row r="197" spans="1:14" s="153" customFormat="1" ht="15.75">
      <c r="A197" s="135"/>
      <c r="B197" s="221"/>
      <c r="C197" s="134"/>
      <c r="D197" s="134"/>
      <c r="E197" s="134"/>
      <c r="F197" s="134"/>
      <c r="G197" s="134"/>
      <c r="H197" s="134"/>
      <c r="I197" s="135"/>
      <c r="J197" s="169"/>
      <c r="K197" s="135"/>
      <c r="L197" s="135"/>
      <c r="M197" s="135"/>
      <c r="N197" s="135"/>
    </row>
    <row r="198" spans="1:14" s="153" customFormat="1" ht="15.75" hidden="1">
      <c r="A198" s="135"/>
      <c r="B198" s="221"/>
      <c r="C198" s="134"/>
      <c r="D198" s="134"/>
      <c r="E198" s="134"/>
      <c r="F198" s="134"/>
      <c r="G198" s="134"/>
      <c r="H198" s="134"/>
      <c r="I198" s="135"/>
      <c r="J198" s="169"/>
      <c r="K198" s="135"/>
      <c r="L198" s="135"/>
      <c r="M198" s="135"/>
      <c r="N198" s="135"/>
    </row>
    <row r="199" spans="1:14" s="153" customFormat="1" ht="15.75" hidden="1">
      <c r="A199" s="135"/>
      <c r="B199" s="135"/>
      <c r="C199" s="135"/>
      <c r="D199" s="135"/>
      <c r="E199" s="135"/>
      <c r="F199" s="134"/>
      <c r="G199" s="174"/>
      <c r="H199" s="134"/>
      <c r="I199" s="135"/>
      <c r="J199" s="169"/>
      <c r="K199" s="135"/>
      <c r="L199" s="135"/>
      <c r="M199" s="135"/>
      <c r="N199" s="135"/>
    </row>
    <row r="200" spans="1:14" ht="15.75">
      <c r="A200" s="150" t="str">
        <f>Balansräkning!E71</f>
        <v>Not 10</v>
      </c>
      <c r="B200" s="150" t="s">
        <v>44</v>
      </c>
      <c r="C200" s="150"/>
      <c r="D200" s="150"/>
      <c r="E200" s="150"/>
      <c r="F200" s="210"/>
      <c r="G200" s="211"/>
      <c r="H200" s="210"/>
      <c r="I200" s="150"/>
      <c r="J200" s="212"/>
      <c r="K200" s="150"/>
      <c r="L200" s="150"/>
      <c r="M200" s="150"/>
      <c r="N200" s="150"/>
    </row>
    <row r="201" spans="1:14" s="153" customFormat="1" ht="15.75">
      <c r="A201" s="135"/>
      <c r="B201" s="135"/>
      <c r="C201" s="135"/>
      <c r="D201" s="135"/>
      <c r="E201" s="135"/>
      <c r="F201" s="134"/>
      <c r="G201" s="174"/>
      <c r="H201" s="134"/>
      <c r="I201" s="135"/>
      <c r="J201" s="169"/>
      <c r="K201" s="135"/>
      <c r="L201" s="135"/>
      <c r="M201" s="135"/>
      <c r="N201" s="135"/>
    </row>
    <row r="202" spans="1:10" s="187" customFormat="1" ht="15.75" customHeight="1">
      <c r="A202" s="181"/>
      <c r="B202" s="224" t="s">
        <v>120</v>
      </c>
      <c r="C202" s="225"/>
      <c r="D202" s="146"/>
      <c r="E202" s="225" t="s">
        <v>121</v>
      </c>
      <c r="F202" s="225" t="s">
        <v>122</v>
      </c>
      <c r="G202" s="214"/>
      <c r="H202" s="225" t="s">
        <v>123</v>
      </c>
      <c r="I202" s="185"/>
      <c r="J202" s="186"/>
    </row>
    <row r="203" spans="1:10" s="201" customFormat="1" ht="15.75">
      <c r="A203" s="147"/>
      <c r="B203" s="226" t="s">
        <v>420</v>
      </c>
      <c r="C203" s="197"/>
      <c r="D203" s="227"/>
      <c r="E203" s="198">
        <v>0.0421</v>
      </c>
      <c r="F203" s="228" t="s">
        <v>421</v>
      </c>
      <c r="G203" s="197"/>
      <c r="H203" s="197">
        <v>20511550</v>
      </c>
      <c r="I203" s="199"/>
      <c r="J203" s="200"/>
    </row>
    <row r="204" spans="1:10" s="201" customFormat="1" ht="15.75">
      <c r="A204" s="147"/>
      <c r="B204" s="229" t="s">
        <v>420</v>
      </c>
      <c r="C204" s="178"/>
      <c r="D204" s="205"/>
      <c r="E204" s="192">
        <v>0.0421</v>
      </c>
      <c r="F204" s="230" t="s">
        <v>421</v>
      </c>
      <c r="G204" s="178"/>
      <c r="H204" s="178">
        <v>2925000</v>
      </c>
      <c r="I204" s="199"/>
      <c r="J204" s="200"/>
    </row>
    <row r="205" spans="1:10" s="201" customFormat="1" ht="15.75">
      <c r="A205" s="147"/>
      <c r="B205" s="231" t="s">
        <v>420</v>
      </c>
      <c r="C205" s="170"/>
      <c r="D205" s="232"/>
      <c r="E205" s="193">
        <v>0.0414</v>
      </c>
      <c r="F205" s="233">
        <v>39526</v>
      </c>
      <c r="G205" s="170"/>
      <c r="H205" s="170">
        <v>11475000</v>
      </c>
      <c r="I205" s="199"/>
      <c r="J205" s="200"/>
    </row>
    <row r="206" spans="1:10" s="201" customFormat="1" ht="15.75" hidden="1">
      <c r="A206" s="147"/>
      <c r="B206" s="229"/>
      <c r="C206" s="178"/>
      <c r="D206" s="205"/>
      <c r="E206" s="192"/>
      <c r="F206" s="230"/>
      <c r="G206" s="178"/>
      <c r="H206" s="178"/>
      <c r="I206" s="199"/>
      <c r="J206" s="200"/>
    </row>
    <row r="207" spans="1:10" s="201" customFormat="1" ht="15.75" hidden="1">
      <c r="A207" s="147"/>
      <c r="B207" s="229"/>
      <c r="C207" s="178"/>
      <c r="D207" s="205"/>
      <c r="E207" s="192"/>
      <c r="F207" s="230"/>
      <c r="G207" s="178"/>
      <c r="H207" s="178"/>
      <c r="I207" s="199"/>
      <c r="J207" s="200"/>
    </row>
    <row r="208" spans="1:10" s="201" customFormat="1" ht="15.75" hidden="1">
      <c r="A208" s="147"/>
      <c r="B208" s="231"/>
      <c r="C208" s="170"/>
      <c r="D208" s="232"/>
      <c r="E208" s="193"/>
      <c r="F208" s="233"/>
      <c r="G208" s="170"/>
      <c r="H208" s="170"/>
      <c r="I208" s="199"/>
      <c r="J208" s="200"/>
    </row>
    <row r="209" spans="1:11" s="153" customFormat="1" ht="15.75">
      <c r="A209" s="135"/>
      <c r="B209" s="135" t="s">
        <v>162</v>
      </c>
      <c r="C209" s="174"/>
      <c r="D209" s="174"/>
      <c r="E209" s="174"/>
      <c r="F209" s="174"/>
      <c r="G209" s="174"/>
      <c r="H209" s="174">
        <f>SUM(H203:H208)</f>
        <v>34911550</v>
      </c>
      <c r="I209" s="179"/>
      <c r="J209" s="191"/>
      <c r="K209" s="234"/>
    </row>
    <row r="210" spans="1:10" s="153" customFormat="1" ht="15.75">
      <c r="A210" s="135"/>
      <c r="B210" s="135"/>
      <c r="C210" s="174"/>
      <c r="D210" s="174"/>
      <c r="E210" s="174"/>
      <c r="F210" s="174"/>
      <c r="G210" s="174"/>
      <c r="H210" s="174"/>
      <c r="I210" s="179"/>
      <c r="J210" s="191"/>
    </row>
    <row r="211" spans="1:10" s="153" customFormat="1" ht="30" customHeight="1">
      <c r="A211" s="135"/>
      <c r="B211" s="287" t="s">
        <v>422</v>
      </c>
      <c r="C211" s="287"/>
      <c r="D211" s="287"/>
      <c r="E211" s="287"/>
      <c r="F211" s="287"/>
      <c r="G211" s="287"/>
      <c r="H211" s="287"/>
      <c r="I211" s="179"/>
      <c r="J211" s="191"/>
    </row>
    <row r="212" spans="1:10" s="153" customFormat="1" ht="15.75">
      <c r="A212" s="135"/>
      <c r="B212" s="174"/>
      <c r="C212" s="174"/>
      <c r="D212" s="174"/>
      <c r="E212" s="174"/>
      <c r="F212" s="174"/>
      <c r="G212" s="174"/>
      <c r="H212" s="211"/>
      <c r="I212" s="179"/>
      <c r="J212" s="191"/>
    </row>
    <row r="213" spans="1:8" ht="15.75">
      <c r="A213" s="150" t="str">
        <f>Balansräkning!E74</f>
        <v>Not 11</v>
      </c>
      <c r="B213" s="150" t="s">
        <v>180</v>
      </c>
      <c r="C213" s="150"/>
      <c r="D213" s="150"/>
      <c r="E213" s="150"/>
      <c r="F213" s="210"/>
      <c r="G213" s="211"/>
      <c r="H213" s="210"/>
    </row>
    <row r="214" spans="1:10" s="135" customFormat="1" ht="15.75">
      <c r="A214" s="147"/>
      <c r="B214" s="236" t="s">
        <v>424</v>
      </c>
      <c r="C214" s="147"/>
      <c r="D214" s="147"/>
      <c r="E214" s="147"/>
      <c r="F214" s="134">
        <v>3667</v>
      </c>
      <c r="G214" s="134"/>
      <c r="H214" s="134">
        <v>1992</v>
      </c>
      <c r="J214" s="169"/>
    </row>
    <row r="215" spans="1:10" s="153" customFormat="1" ht="15.75">
      <c r="A215" s="147"/>
      <c r="B215" s="236" t="s">
        <v>425</v>
      </c>
      <c r="C215" s="147"/>
      <c r="D215" s="147"/>
      <c r="E215" s="147"/>
      <c r="F215" s="134">
        <v>21000</v>
      </c>
      <c r="G215" s="134"/>
      <c r="H215" s="134">
        <v>21000</v>
      </c>
      <c r="I215" s="179"/>
      <c r="J215" s="191"/>
    </row>
    <row r="216" spans="1:10" s="153" customFormat="1" ht="15.75">
      <c r="A216" s="133"/>
      <c r="B216" s="237" t="s">
        <v>426</v>
      </c>
      <c r="C216" s="128"/>
      <c r="D216" s="128"/>
      <c r="E216" s="128"/>
      <c r="F216" s="128">
        <v>4140666</v>
      </c>
      <c r="G216" s="128"/>
      <c r="H216" s="128">
        <v>732500</v>
      </c>
      <c r="I216" s="179"/>
      <c r="J216" s="191"/>
    </row>
    <row r="217" spans="2:10" s="133" customFormat="1" ht="15.75">
      <c r="B217" s="237" t="s">
        <v>47</v>
      </c>
      <c r="F217" s="222">
        <v>3415</v>
      </c>
      <c r="G217" s="128"/>
      <c r="H217" s="222">
        <v>0</v>
      </c>
      <c r="J217" s="129"/>
    </row>
    <row r="218" spans="2:10" s="133" customFormat="1" ht="15.75">
      <c r="B218" s="237" t="s">
        <v>35</v>
      </c>
      <c r="F218" s="238">
        <v>1785</v>
      </c>
      <c r="G218" s="128"/>
      <c r="H218" s="238">
        <v>0</v>
      </c>
      <c r="J218" s="129"/>
    </row>
    <row r="219" spans="2:12" s="133" customFormat="1" ht="15.75">
      <c r="B219" s="237"/>
      <c r="F219" s="222">
        <f>SUM(F214:F218)</f>
        <v>4170533</v>
      </c>
      <c r="G219" s="128"/>
      <c r="H219" s="222">
        <f>SUM(H214:H218)</f>
        <v>755492</v>
      </c>
      <c r="J219" s="129"/>
      <c r="K219" s="128"/>
      <c r="L219" s="128"/>
    </row>
    <row r="220" spans="2:10" s="133" customFormat="1" ht="15.75">
      <c r="B220" s="237"/>
      <c r="F220" s="222"/>
      <c r="G220" s="128"/>
      <c r="H220" s="222"/>
      <c r="J220" s="129"/>
    </row>
    <row r="221" spans="1:9" s="146" customFormat="1" ht="18.75" customHeight="1" hidden="1" thickBot="1">
      <c r="A221" s="141" t="s">
        <v>48</v>
      </c>
      <c r="B221" s="142"/>
      <c r="C221" s="142"/>
      <c r="D221" s="142"/>
      <c r="E221" s="142"/>
      <c r="F221" s="143">
        <f>Ar_1</f>
        <v>39447</v>
      </c>
      <c r="G221" s="144"/>
      <c r="H221" s="143">
        <f>Ar_2</f>
        <v>39082</v>
      </c>
      <c r="I221" s="145"/>
    </row>
    <row r="222" spans="1:9" ht="15.75" customHeight="1" hidden="1">
      <c r="A222" s="147"/>
      <c r="B222" s="147"/>
      <c r="C222" s="147"/>
      <c r="D222" s="147"/>
      <c r="E222" s="147"/>
      <c r="F222" s="148"/>
      <c r="G222" s="149"/>
      <c r="H222" s="148"/>
      <c r="I222" s="149"/>
    </row>
    <row r="223" spans="1:9" ht="15.75" customHeight="1">
      <c r="A223" s="150" t="str">
        <f>Balansräkning!E75</f>
        <v>Not 12</v>
      </c>
      <c r="B223" s="150" t="s">
        <v>115</v>
      </c>
      <c r="C223" s="150"/>
      <c r="D223" s="150"/>
      <c r="E223" s="150"/>
      <c r="F223" s="210"/>
      <c r="G223" s="211"/>
      <c r="I223" s="149"/>
    </row>
    <row r="224" spans="1:9" ht="15.75" customHeight="1">
      <c r="A224" s="135"/>
      <c r="B224" s="236" t="s">
        <v>165</v>
      </c>
      <c r="C224" s="135"/>
      <c r="D224" s="135"/>
      <c r="E224" s="135"/>
      <c r="F224" s="134">
        <v>181182</v>
      </c>
      <c r="G224" s="174"/>
      <c r="H224" s="134"/>
      <c r="I224" s="149"/>
    </row>
    <row r="225" spans="1:9" ht="15.75" customHeight="1">
      <c r="A225" s="133"/>
      <c r="B225" s="132" t="s">
        <v>427</v>
      </c>
      <c r="C225" s="133"/>
      <c r="D225" s="133"/>
      <c r="E225" s="133"/>
      <c r="F225" s="134">
        <v>6900</v>
      </c>
      <c r="G225" s="128"/>
      <c r="H225" s="134"/>
      <c r="I225" s="149"/>
    </row>
    <row r="226" spans="1:9" ht="15.75" customHeight="1">
      <c r="A226" s="147"/>
      <c r="B226" s="132" t="s">
        <v>57</v>
      </c>
      <c r="C226" s="147"/>
      <c r="D226" s="147"/>
      <c r="E226" s="147"/>
      <c r="F226" s="134">
        <f>2256+6165</f>
        <v>8421</v>
      </c>
      <c r="G226" s="149"/>
      <c r="H226" s="134"/>
      <c r="I226" s="149"/>
    </row>
    <row r="227" spans="2:14" ht="15.75">
      <c r="B227" s="132" t="s">
        <v>60</v>
      </c>
      <c r="F227" s="134">
        <f>754+9343</f>
        <v>10097</v>
      </c>
      <c r="H227" s="134"/>
      <c r="I227" s="150"/>
      <c r="J227" s="150"/>
      <c r="K227" s="150"/>
      <c r="L227" s="150"/>
      <c r="M227" s="150"/>
      <c r="N227" s="150"/>
    </row>
    <row r="228" spans="2:14" s="153" customFormat="1" ht="15.75">
      <c r="B228" s="132" t="s">
        <v>428</v>
      </c>
      <c r="F228" s="134">
        <v>301153</v>
      </c>
      <c r="H228" s="134"/>
      <c r="I228" s="135"/>
      <c r="J228" s="169"/>
      <c r="K228" s="135"/>
      <c r="L228" s="135"/>
      <c r="M228" s="135"/>
      <c r="N228" s="135"/>
    </row>
    <row r="229" spans="2:14" s="153" customFormat="1" ht="15.75">
      <c r="B229" s="132" t="s">
        <v>59</v>
      </c>
      <c r="F229" s="134">
        <v>11800</v>
      </c>
      <c r="H229" s="134"/>
      <c r="I229" s="135"/>
      <c r="J229" s="169"/>
      <c r="K229" s="135"/>
      <c r="L229" s="135"/>
      <c r="M229" s="135"/>
      <c r="N229" s="135"/>
    </row>
    <row r="230" spans="2:14" s="223" customFormat="1" ht="15.75">
      <c r="B230" s="132" t="s">
        <v>293</v>
      </c>
      <c r="F230" s="134">
        <v>63660</v>
      </c>
      <c r="H230" s="134"/>
      <c r="I230" s="133"/>
      <c r="J230" s="129"/>
      <c r="K230" s="133"/>
      <c r="L230" s="133"/>
      <c r="M230" s="133"/>
      <c r="N230" s="133"/>
    </row>
    <row r="231" spans="1:14" s="153" customFormat="1" ht="15.75">
      <c r="A231" s="135"/>
      <c r="B231" s="132" t="s">
        <v>429</v>
      </c>
      <c r="C231" s="135"/>
      <c r="D231" s="135"/>
      <c r="E231" s="135"/>
      <c r="F231" s="134">
        <v>1000</v>
      </c>
      <c r="G231" s="174"/>
      <c r="H231" s="134"/>
      <c r="I231" s="135"/>
      <c r="J231" s="169"/>
      <c r="K231" s="135"/>
      <c r="L231" s="135"/>
      <c r="M231" s="135"/>
      <c r="N231" s="135"/>
    </row>
    <row r="232" spans="1:14" s="223" customFormat="1" ht="15.75">
      <c r="A232" s="133"/>
      <c r="B232" s="132" t="s">
        <v>430</v>
      </c>
      <c r="C232" s="133"/>
      <c r="D232" s="133"/>
      <c r="E232" s="133"/>
      <c r="F232" s="134">
        <v>75000</v>
      </c>
      <c r="G232" s="128"/>
      <c r="H232" s="134"/>
      <c r="I232" s="133"/>
      <c r="J232" s="129"/>
      <c r="K232" s="133"/>
      <c r="L232" s="133"/>
      <c r="M232" s="133"/>
      <c r="N232" s="133"/>
    </row>
    <row r="233" spans="1:14" s="223" customFormat="1" ht="15.75">
      <c r="A233" s="133"/>
      <c r="B233" s="132" t="s">
        <v>437</v>
      </c>
      <c r="C233" s="133"/>
      <c r="D233" s="133"/>
      <c r="E233" s="133"/>
      <c r="F233" s="134">
        <v>3000</v>
      </c>
      <c r="G233" s="128"/>
      <c r="H233" s="134"/>
      <c r="I233" s="133"/>
      <c r="J233" s="129"/>
      <c r="K233" s="133"/>
      <c r="L233" s="133"/>
      <c r="M233" s="133"/>
      <c r="N233" s="133"/>
    </row>
    <row r="234" spans="1:14" s="153" customFormat="1" ht="15.75">
      <c r="A234" s="135"/>
      <c r="B234" s="132" t="s">
        <v>438</v>
      </c>
      <c r="C234" s="135"/>
      <c r="D234" s="135"/>
      <c r="E234" s="135"/>
      <c r="F234" s="134">
        <f>22500+900</f>
        <v>23400</v>
      </c>
      <c r="G234" s="174"/>
      <c r="I234" s="135"/>
      <c r="J234" s="169"/>
      <c r="K234" s="135"/>
      <c r="L234" s="135"/>
      <c r="M234" s="135"/>
      <c r="N234" s="135"/>
    </row>
    <row r="235" spans="1:14" s="223" customFormat="1" ht="15.75" hidden="1">
      <c r="A235" s="133"/>
      <c r="B235" s="132"/>
      <c r="C235" s="133"/>
      <c r="D235" s="133"/>
      <c r="E235" s="133"/>
      <c r="F235" s="134"/>
      <c r="G235" s="128"/>
      <c r="I235" s="133"/>
      <c r="J235" s="129"/>
      <c r="K235" s="133"/>
      <c r="L235" s="133"/>
      <c r="M235" s="133"/>
      <c r="N235" s="133"/>
    </row>
    <row r="236" spans="2:12" s="135" customFormat="1" ht="15.75">
      <c r="B236" s="135" t="s">
        <v>163</v>
      </c>
      <c r="F236" s="197">
        <f>SUM(F223:F235)</f>
        <v>685613</v>
      </c>
      <c r="G236" s="174"/>
      <c r="J236" s="169"/>
      <c r="K236" s="174"/>
      <c r="L236" s="174"/>
    </row>
    <row r="237" spans="6:10" s="135" customFormat="1" ht="15.75">
      <c r="F237" s="134"/>
      <c r="G237" s="174"/>
      <c r="H237" s="178"/>
      <c r="J237" s="169"/>
    </row>
    <row r="238" spans="6:10" s="135" customFormat="1" ht="15.75">
      <c r="F238" s="134"/>
      <c r="G238" s="174"/>
      <c r="H238" s="178"/>
      <c r="J238" s="169"/>
    </row>
    <row r="239" spans="6:9" s="153" customFormat="1" ht="12.75">
      <c r="F239" s="239"/>
      <c r="G239" s="240"/>
      <c r="H239" s="239"/>
      <c r="I239" s="240"/>
    </row>
    <row r="240" spans="6:9" s="133" customFormat="1" ht="15.75">
      <c r="F240" s="241"/>
      <c r="G240" s="162"/>
      <c r="H240" s="241"/>
      <c r="I240" s="162"/>
    </row>
    <row r="241" ht="15.75">
      <c r="C241" s="131" t="str">
        <f ca="1">"Stockholm                      "&amp;YEAR(NOW())</f>
        <v>Stockholm                      2008</v>
      </c>
    </row>
    <row r="245" spans="2:8" ht="15.75">
      <c r="B245" s="131" t="s">
        <v>107</v>
      </c>
      <c r="E245" s="138" t="s">
        <v>107</v>
      </c>
      <c r="H245" s="138" t="s">
        <v>107</v>
      </c>
    </row>
    <row r="246" spans="2:8" ht="15.75">
      <c r="B246" s="131" t="s">
        <v>439</v>
      </c>
      <c r="D246" s="131" t="s">
        <v>440</v>
      </c>
      <c r="F246" s="235" t="s">
        <v>441</v>
      </c>
      <c r="H246" s="235"/>
    </row>
    <row r="250" spans="2:8" ht="15.75">
      <c r="B250" s="131" t="s">
        <v>107</v>
      </c>
      <c r="E250" s="138" t="s">
        <v>107</v>
      </c>
      <c r="H250" s="138" t="s">
        <v>107</v>
      </c>
    </row>
    <row r="251" spans="2:8" ht="15.75">
      <c r="B251" s="131" t="s">
        <v>442</v>
      </c>
      <c r="D251" s="131" t="s">
        <v>443</v>
      </c>
      <c r="F251" s="235" t="s">
        <v>445</v>
      </c>
      <c r="H251" s="235"/>
    </row>
    <row r="255" ht="15.75">
      <c r="B255" s="131" t="s">
        <v>107</v>
      </c>
    </row>
    <row r="256" ht="15.75">
      <c r="B256" s="131" t="s">
        <v>444</v>
      </c>
    </row>
    <row r="261" ht="15.75">
      <c r="B261" s="131" t="str">
        <f ca="1">"Vår revisionsberättelse har "&amp;YEAR(NOW())&amp;"-                 avgivits beträffande denna årsredovisning"</f>
        <v>Vår revisionsberättelse har 2008-                 avgivits beträffande denna årsredovisning</v>
      </c>
    </row>
    <row r="265" spans="3:5" ht="15.75">
      <c r="C265" s="138" t="s">
        <v>107</v>
      </c>
      <c r="E265" s="242" t="s">
        <v>107</v>
      </c>
    </row>
    <row r="266" spans="2:11" ht="15.75">
      <c r="B266" s="242" t="s">
        <v>446</v>
      </c>
      <c r="C266" s="138"/>
      <c r="I266" s="243"/>
      <c r="K266" s="173"/>
    </row>
    <row r="267" spans="2:11" ht="15.75">
      <c r="B267" s="242" t="s">
        <v>221</v>
      </c>
      <c r="C267" s="242"/>
      <c r="E267" s="131" t="s">
        <v>235</v>
      </c>
      <c r="H267" s="244"/>
      <c r="I267" s="243"/>
      <c r="K267" s="173"/>
    </row>
    <row r="268" spans="5:11" ht="15.75">
      <c r="E268" s="242" t="s">
        <v>233</v>
      </c>
      <c r="H268" s="244"/>
      <c r="I268" s="243"/>
      <c r="K268" s="173"/>
    </row>
    <row r="269" ht="15.75">
      <c r="H269" s="244"/>
    </row>
    <row r="270" spans="2:3" ht="15.75">
      <c r="B270" s="138"/>
      <c r="C270" s="138"/>
    </row>
    <row r="275" spans="10:11" ht="15.75">
      <c r="J275" s="173"/>
      <c r="K275" s="173"/>
    </row>
  </sheetData>
  <sheetProtection/>
  <mergeCells count="12">
    <mergeCell ref="B120:H120"/>
    <mergeCell ref="B92:E92"/>
    <mergeCell ref="B21:H21"/>
    <mergeCell ref="B24:H24"/>
    <mergeCell ref="B9:H9"/>
    <mergeCell ref="B12:H12"/>
    <mergeCell ref="B15:H15"/>
    <mergeCell ref="B211:H211"/>
    <mergeCell ref="B18:H18"/>
    <mergeCell ref="B54:E54"/>
    <mergeCell ref="B127:H127"/>
    <mergeCell ref="B143:H143"/>
  </mergeCells>
  <printOptions/>
  <pageMargins left="0.7086614173228347" right="0.5905511811023623" top="0.5118110236220472" bottom="0.7086614173228347" header="0.5118110236220472" footer="0.2755905511811024"/>
  <pageSetup horizontalDpi="600" verticalDpi="600" orientation="portrait" paperSize="9" r:id="rId4"/>
  <headerFooter alignWithMargins="0">
    <oddFooter>&amp;C&amp;P(&amp;N)</oddFooter>
  </headerFooter>
  <rowBreaks count="4" manualBreakCount="4">
    <brk id="54" max="255" man="1"/>
    <brk id="107" max="255" man="1"/>
    <brk id="195" max="255" man="1"/>
    <brk id="23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Blad7"/>
  <dimension ref="A1:K43"/>
  <sheetViews>
    <sheetView zoomScalePageLayoutView="0" workbookViewId="0" topLeftCell="A1">
      <selection activeCell="K13" sqref="K13"/>
    </sheetView>
  </sheetViews>
  <sheetFormatPr defaultColWidth="9.00390625" defaultRowHeight="15.75"/>
  <cols>
    <col min="1" max="1" width="7.875" style="0" customWidth="1"/>
    <col min="2" max="3" width="9.25390625" style="0" customWidth="1"/>
    <col min="4" max="4" width="17.75390625" style="0" customWidth="1"/>
    <col min="5" max="5" width="6.75390625" style="63" customWidth="1"/>
    <col min="6" max="6" width="2.25390625" style="63" customWidth="1"/>
    <col min="7" max="7" width="13.00390625" style="57" customWidth="1"/>
    <col min="8" max="8" width="2.25390625" style="0" customWidth="1"/>
    <col min="9" max="9" width="13.00390625" style="57" customWidth="1"/>
  </cols>
  <sheetData>
    <row r="1" spans="5:10" ht="12" customHeight="1">
      <c r="E1"/>
      <c r="F1"/>
      <c r="G1"/>
      <c r="H1" s="57"/>
      <c r="I1"/>
      <c r="J1" s="57"/>
    </row>
    <row r="2" spans="1:10" ht="19.5" customHeight="1">
      <c r="A2" s="98" t="s">
        <v>219</v>
      </c>
      <c r="B2" s="49"/>
      <c r="C2" s="49"/>
      <c r="D2" s="49"/>
      <c r="E2"/>
      <c r="F2"/>
      <c r="G2" s="22"/>
      <c r="H2" s="57"/>
      <c r="I2"/>
      <c r="J2" s="57"/>
    </row>
    <row r="3" spans="5:10" ht="12" customHeight="1">
      <c r="E3"/>
      <c r="F3"/>
      <c r="G3"/>
      <c r="H3" s="57"/>
      <c r="I3"/>
      <c r="J3" s="57"/>
    </row>
    <row r="4" ht="13.5" customHeight="1">
      <c r="A4" s="50"/>
    </row>
    <row r="5" spans="1:10" ht="18.75">
      <c r="A5" s="115"/>
      <c r="B5" s="19"/>
      <c r="C5" s="19"/>
      <c r="D5" s="116"/>
      <c r="E5" s="117"/>
      <c r="F5" s="118"/>
      <c r="G5" s="116"/>
      <c r="H5" s="119"/>
      <c r="I5" s="116"/>
      <c r="J5" s="1"/>
    </row>
    <row r="6" spans="5:9" s="23" customFormat="1" ht="12" customHeight="1">
      <c r="E6" s="63"/>
      <c r="F6" s="63"/>
      <c r="G6" s="72"/>
      <c r="I6" s="72"/>
    </row>
    <row r="7" spans="1:9" s="77" customFormat="1" ht="15.75">
      <c r="A7" s="50" t="s">
        <v>431</v>
      </c>
      <c r="E7" s="64"/>
      <c r="F7" s="78"/>
      <c r="G7" s="69"/>
      <c r="H7" s="69"/>
      <c r="I7" s="69"/>
    </row>
    <row r="8" spans="1:9" s="23" customFormat="1" ht="20.25" customHeight="1">
      <c r="A8" s="23" t="s">
        <v>432</v>
      </c>
      <c r="E8" s="64"/>
      <c r="F8" s="64"/>
      <c r="G8" s="61"/>
      <c r="H8" s="62"/>
      <c r="I8" s="61"/>
    </row>
    <row r="9" spans="1:9" s="109" customFormat="1" ht="12" customHeight="1">
      <c r="A9" s="120"/>
      <c r="B9" s="121"/>
      <c r="C9" s="121"/>
      <c r="D9" s="122"/>
      <c r="E9" s="123"/>
      <c r="F9" s="124"/>
      <c r="G9" s="122"/>
      <c r="H9" s="125"/>
      <c r="I9" s="122"/>
    </row>
    <row r="10" spans="1:10" s="23" customFormat="1" ht="15.75" customHeight="1">
      <c r="A10" s="99"/>
      <c r="B10" s="35"/>
      <c r="C10" s="35"/>
      <c r="D10" s="35"/>
      <c r="E10" s="99"/>
      <c r="F10" s="99"/>
      <c r="G10" s="60"/>
      <c r="H10" s="79"/>
      <c r="I10" s="60"/>
      <c r="J10" s="97"/>
    </row>
    <row r="11" spans="1:10" s="23" customFormat="1" ht="30.75" customHeight="1">
      <c r="A11" s="293" t="s">
        <v>433</v>
      </c>
      <c r="B11" s="294"/>
      <c r="C11" s="294"/>
      <c r="D11" s="294"/>
      <c r="E11" s="294"/>
      <c r="F11" s="294"/>
      <c r="G11" s="294"/>
      <c r="H11" s="294"/>
      <c r="I11" s="294"/>
      <c r="J11" s="97"/>
    </row>
    <row r="12" spans="1:10" s="23" customFormat="1" ht="15.75" customHeight="1">
      <c r="A12" s="110"/>
      <c r="B12" s="111"/>
      <c r="C12" s="111"/>
      <c r="D12" s="111"/>
      <c r="E12" s="111"/>
      <c r="F12" s="111"/>
      <c r="G12" s="111"/>
      <c r="H12" s="111"/>
      <c r="I12" s="111"/>
      <c r="J12" s="97"/>
    </row>
    <row r="13" spans="1:10" s="23" customFormat="1" ht="50.25" customHeight="1">
      <c r="A13" s="293" t="s">
        <v>222</v>
      </c>
      <c r="B13" s="294"/>
      <c r="C13" s="294"/>
      <c r="D13" s="294"/>
      <c r="E13" s="294"/>
      <c r="F13" s="294"/>
      <c r="G13" s="294"/>
      <c r="H13" s="294"/>
      <c r="I13" s="294"/>
      <c r="J13" s="97"/>
    </row>
    <row r="14" spans="1:10" s="23" customFormat="1" ht="15.75" customHeight="1">
      <c r="A14" s="110"/>
      <c r="B14" s="111"/>
      <c r="C14" s="111"/>
      <c r="D14" s="111"/>
      <c r="E14" s="111"/>
      <c r="F14" s="111"/>
      <c r="G14" s="111"/>
      <c r="H14" s="111"/>
      <c r="I14" s="111"/>
      <c r="J14" s="97"/>
    </row>
    <row r="15" spans="1:10" s="23" customFormat="1" ht="187.5" customHeight="1">
      <c r="A15" s="293" t="s">
        <v>220</v>
      </c>
      <c r="B15" s="294"/>
      <c r="C15" s="294"/>
      <c r="D15" s="294"/>
      <c r="E15" s="294"/>
      <c r="F15" s="294"/>
      <c r="G15" s="294"/>
      <c r="H15" s="294"/>
      <c r="I15" s="294"/>
      <c r="J15" s="97"/>
    </row>
    <row r="16" spans="1:10" s="23" customFormat="1" ht="15.75" customHeight="1">
      <c r="A16" s="110"/>
      <c r="B16" s="111"/>
      <c r="C16" s="111"/>
      <c r="D16" s="111"/>
      <c r="E16" s="111"/>
      <c r="F16" s="111"/>
      <c r="G16" s="111"/>
      <c r="H16" s="111"/>
      <c r="I16" s="111"/>
      <c r="J16" s="97"/>
    </row>
    <row r="17" spans="1:10" s="23" customFormat="1" ht="54.75" customHeight="1">
      <c r="A17" s="293" t="s">
        <v>226</v>
      </c>
      <c r="B17" s="294"/>
      <c r="C17" s="294"/>
      <c r="D17" s="294"/>
      <c r="E17" s="294"/>
      <c r="F17" s="294"/>
      <c r="G17" s="294"/>
      <c r="H17" s="294"/>
      <c r="I17" s="294"/>
      <c r="J17" s="97"/>
    </row>
    <row r="18" spans="1:10" s="23" customFormat="1" ht="15.75" customHeight="1">
      <c r="A18" s="110"/>
      <c r="B18" s="111"/>
      <c r="C18" s="111"/>
      <c r="D18" s="111"/>
      <c r="E18" s="111"/>
      <c r="F18" s="111"/>
      <c r="G18" s="111"/>
      <c r="H18" s="111"/>
      <c r="I18" s="111"/>
      <c r="J18" s="97"/>
    </row>
    <row r="19" spans="1:10" s="23" customFormat="1" ht="109.5" customHeight="1">
      <c r="A19" s="293" t="s">
        <v>227</v>
      </c>
      <c r="B19" s="294"/>
      <c r="C19" s="294"/>
      <c r="D19" s="294"/>
      <c r="E19" s="294"/>
      <c r="F19" s="294"/>
      <c r="G19" s="294"/>
      <c r="H19" s="294"/>
      <c r="I19" s="294"/>
      <c r="J19" s="97"/>
    </row>
    <row r="20" spans="1:10" s="23" customFormat="1" ht="15.75" customHeight="1">
      <c r="A20" s="110"/>
      <c r="B20" s="111"/>
      <c r="C20" s="111"/>
      <c r="D20" s="111"/>
      <c r="E20" s="111"/>
      <c r="F20" s="111"/>
      <c r="G20" s="111"/>
      <c r="H20" s="111"/>
      <c r="I20" s="111"/>
      <c r="J20" s="97"/>
    </row>
    <row r="21" spans="1:10" s="23" customFormat="1" ht="15.75">
      <c r="A21" s="99"/>
      <c r="B21" s="35"/>
      <c r="C21" s="35"/>
      <c r="D21" s="35"/>
      <c r="E21" s="99"/>
      <c r="F21" s="99"/>
      <c r="G21" s="60"/>
      <c r="H21" s="79"/>
      <c r="I21" s="60"/>
      <c r="J21" s="97"/>
    </row>
    <row r="22" spans="1:10" s="23" customFormat="1" ht="15.75">
      <c r="A22" s="23" t="s">
        <v>221</v>
      </c>
      <c r="E22" s="99"/>
      <c r="F22" s="99"/>
      <c r="G22" s="23" t="s">
        <v>235</v>
      </c>
      <c r="H22" s="79"/>
      <c r="I22" s="60"/>
      <c r="J22" s="97"/>
    </row>
    <row r="23" spans="1:10" s="23" customFormat="1" ht="15.75">
      <c r="A23" s="99"/>
      <c r="B23" s="35"/>
      <c r="C23" s="35"/>
      <c r="D23" s="100"/>
      <c r="E23" s="99"/>
      <c r="F23" s="99"/>
      <c r="G23" s="23" t="s">
        <v>233</v>
      </c>
      <c r="H23" s="79"/>
      <c r="I23" s="60"/>
      <c r="J23" s="97"/>
    </row>
    <row r="24" spans="1:10" s="23" customFormat="1" ht="6.75" customHeight="1">
      <c r="A24" s="35"/>
      <c r="B24" s="35"/>
      <c r="C24" s="35"/>
      <c r="D24" s="100"/>
      <c r="E24" s="99"/>
      <c r="F24" s="99"/>
      <c r="G24" s="60"/>
      <c r="H24" s="79"/>
      <c r="I24" s="60"/>
      <c r="J24" s="97"/>
    </row>
    <row r="25" spans="1:11" ht="15.75">
      <c r="A25" s="101"/>
      <c r="B25" s="102"/>
      <c r="C25" s="102"/>
      <c r="D25" s="102"/>
      <c r="E25" s="103"/>
      <c r="F25" s="103"/>
      <c r="G25" s="70"/>
      <c r="H25" s="104"/>
      <c r="I25" s="70"/>
      <c r="J25" s="51"/>
      <c r="K25" s="51"/>
    </row>
    <row r="26" spans="1:9" ht="6.75" customHeight="1">
      <c r="A26" s="75"/>
      <c r="B26" s="75"/>
      <c r="C26" s="75"/>
      <c r="D26" s="75"/>
      <c r="E26" s="112"/>
      <c r="F26" s="112"/>
      <c r="G26" s="113"/>
      <c r="H26" s="76"/>
      <c r="I26" s="113"/>
    </row>
    <row r="27" spans="1:9" s="23" customFormat="1" ht="15.75">
      <c r="A27" s="114"/>
      <c r="B27" s="75"/>
      <c r="C27" s="75"/>
      <c r="D27" s="75"/>
      <c r="E27" s="114"/>
      <c r="F27" s="114"/>
      <c r="G27" s="71"/>
      <c r="H27" s="76"/>
      <c r="I27" s="71"/>
    </row>
    <row r="28" spans="1:9" ht="6.75" customHeight="1">
      <c r="A28" s="75"/>
      <c r="B28" s="75"/>
      <c r="C28" s="75"/>
      <c r="D28" s="75"/>
      <c r="E28" s="112"/>
      <c r="F28" s="112"/>
      <c r="G28" s="113"/>
      <c r="H28" s="76"/>
      <c r="I28" s="113"/>
    </row>
    <row r="29" spans="1:9" ht="15.75">
      <c r="A29" s="101"/>
      <c r="B29" s="75"/>
      <c r="C29" s="75"/>
      <c r="D29" s="75"/>
      <c r="E29" s="112"/>
      <c r="F29" s="112"/>
      <c r="G29" s="70"/>
      <c r="H29" s="104"/>
      <c r="I29" s="70"/>
    </row>
    <row r="30" spans="1:9" ht="6.75" customHeight="1">
      <c r="A30" s="1"/>
      <c r="B30" s="1"/>
      <c r="C30" s="1"/>
      <c r="D30" s="1"/>
      <c r="E30" s="81"/>
      <c r="F30" s="81"/>
      <c r="G30" s="105"/>
      <c r="H30" s="106"/>
      <c r="I30" s="105"/>
    </row>
    <row r="31" spans="1:9" ht="15.75">
      <c r="A31" s="107"/>
      <c r="B31" s="41"/>
      <c r="C31" s="41"/>
      <c r="D31" s="41"/>
      <c r="E31" s="81"/>
      <c r="F31" s="81"/>
      <c r="G31" s="105"/>
      <c r="H31" s="106"/>
      <c r="I31" s="105"/>
    </row>
    <row r="32" spans="1:9" ht="31.5" customHeight="1">
      <c r="A32" s="292"/>
      <c r="B32" s="292"/>
      <c r="C32" s="292"/>
      <c r="D32" s="292"/>
      <c r="E32" s="81"/>
      <c r="F32" s="81"/>
      <c r="G32" s="60"/>
      <c r="H32" s="79"/>
      <c r="I32" s="60"/>
    </row>
    <row r="33" spans="1:9" ht="15.75">
      <c r="A33" s="99"/>
      <c r="B33" s="41"/>
      <c r="C33" s="41"/>
      <c r="D33" s="41"/>
      <c r="E33" s="81"/>
      <c r="F33" s="81"/>
      <c r="G33" s="60"/>
      <c r="H33" s="79"/>
      <c r="I33" s="60"/>
    </row>
    <row r="34" spans="1:9" ht="15.75">
      <c r="A34" s="99"/>
      <c r="B34" s="41"/>
      <c r="C34" s="41"/>
      <c r="D34" s="41"/>
      <c r="E34" s="81"/>
      <c r="F34" s="81"/>
      <c r="G34" s="60"/>
      <c r="H34" s="79"/>
      <c r="I34" s="60"/>
    </row>
    <row r="35" spans="1:9" ht="15.75">
      <c r="A35" s="99"/>
      <c r="B35" s="41"/>
      <c r="C35" s="41"/>
      <c r="D35" s="41"/>
      <c r="E35" s="81"/>
      <c r="F35" s="81"/>
      <c r="G35" s="60"/>
      <c r="H35" s="79"/>
      <c r="I35" s="60"/>
    </row>
    <row r="36" spans="1:9" ht="6.75" customHeight="1">
      <c r="A36" s="1"/>
      <c r="B36" s="1"/>
      <c r="C36" s="1"/>
      <c r="D36" s="1"/>
      <c r="E36" s="81"/>
      <c r="F36" s="81"/>
      <c r="G36" s="60"/>
      <c r="H36" s="79"/>
      <c r="I36" s="60"/>
    </row>
    <row r="37" spans="1:9" ht="15.75">
      <c r="A37" s="101"/>
      <c r="B37" s="1"/>
      <c r="C37" s="1"/>
      <c r="D37" s="1"/>
      <c r="E37" s="81"/>
      <c r="F37" s="81"/>
      <c r="G37" s="70"/>
      <c r="H37" s="104"/>
      <c r="I37" s="70"/>
    </row>
    <row r="38" spans="1:9" ht="6.75" customHeight="1">
      <c r="A38" s="1"/>
      <c r="B38" s="1"/>
      <c r="C38" s="1"/>
      <c r="D38" s="1"/>
      <c r="E38" s="81"/>
      <c r="F38" s="81"/>
      <c r="G38" s="60"/>
      <c r="H38" s="79"/>
      <c r="I38" s="60"/>
    </row>
    <row r="39" spans="1:9" ht="15.75">
      <c r="A39" s="99"/>
      <c r="B39" s="1"/>
      <c r="C39" s="1"/>
      <c r="D39" s="1"/>
      <c r="E39" s="81"/>
      <c r="F39" s="81"/>
      <c r="G39" s="60"/>
      <c r="H39" s="79"/>
      <c r="I39" s="60"/>
    </row>
    <row r="40" spans="1:9" ht="15.75">
      <c r="A40" s="99"/>
      <c r="B40" s="30"/>
      <c r="C40" s="1"/>
      <c r="D40" s="1"/>
      <c r="E40" s="81"/>
      <c r="F40" s="81"/>
      <c r="G40" s="60"/>
      <c r="H40" s="79"/>
      <c r="I40" s="60"/>
    </row>
    <row r="41" spans="1:9" ht="12" customHeight="1">
      <c r="A41" s="1"/>
      <c r="B41" s="1"/>
      <c r="C41" s="1"/>
      <c r="D41" s="1"/>
      <c r="E41" s="81"/>
      <c r="F41" s="81"/>
      <c r="G41" s="60"/>
      <c r="H41" s="79"/>
      <c r="I41" s="60"/>
    </row>
    <row r="42" spans="1:9" ht="18.75">
      <c r="A42" s="108"/>
      <c r="B42" s="1"/>
      <c r="C42" s="1"/>
      <c r="D42" s="1"/>
      <c r="E42" s="81"/>
      <c r="F42" s="81"/>
      <c r="G42" s="70"/>
      <c r="H42" s="104"/>
      <c r="I42" s="70"/>
    </row>
    <row r="43" spans="7:9" ht="15.75">
      <c r="G43" s="59"/>
      <c r="H43" s="53"/>
      <c r="I43" s="59"/>
    </row>
  </sheetData>
  <sheetProtection/>
  <mergeCells count="6">
    <mergeCell ref="A32:D32"/>
    <mergeCell ref="A11:I11"/>
    <mergeCell ref="A13:I13"/>
    <mergeCell ref="A15:I15"/>
    <mergeCell ref="A17:I17"/>
    <mergeCell ref="A19:I19"/>
  </mergeCells>
  <printOptions/>
  <pageMargins left="0.7086614173228347" right="0.5905511811023623" top="0.5118110236220472" bottom="0.7086614173228347" header="0.5118110236220472" footer="0.275590551181102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3"/>
  <dimension ref="A1:O133"/>
  <sheetViews>
    <sheetView zoomScalePageLayoutView="0" workbookViewId="0" topLeftCell="A1">
      <selection activeCell="B3" sqref="B3"/>
    </sheetView>
  </sheetViews>
  <sheetFormatPr defaultColWidth="9.00390625" defaultRowHeight="15.75"/>
  <cols>
    <col min="1" max="1" width="7.375" style="6" customWidth="1"/>
    <col min="2" max="2" width="76.875" style="6" customWidth="1"/>
    <col min="3" max="4" width="24.75390625" style="6" customWidth="1"/>
    <col min="5" max="5" width="4.75390625" style="1" customWidth="1"/>
    <col min="6" max="6" width="6.875" style="2" customWidth="1"/>
    <col min="7" max="7" width="50.00390625" style="2" customWidth="1"/>
    <col min="8" max="8" width="18.375" style="2" customWidth="1"/>
    <col min="9" max="9" width="17.25390625" style="2" customWidth="1"/>
    <col min="10" max="10" width="3.75390625" style="2" customWidth="1"/>
    <col min="11" max="11" width="9.00390625" style="2" customWidth="1"/>
    <col min="12" max="12" width="66.25390625" style="3" customWidth="1"/>
    <col min="13" max="13" width="19.625" style="2" customWidth="1"/>
    <col min="14" max="14" width="18.50390625" style="2" customWidth="1"/>
    <col min="15" max="15" width="9.00390625" style="2" customWidth="1"/>
  </cols>
  <sheetData>
    <row r="1" spans="1:15" ht="15.75">
      <c r="A1" s="19"/>
      <c r="B1" s="19"/>
      <c r="C1" s="1"/>
      <c r="D1" s="1"/>
      <c r="F1" s="1"/>
      <c r="G1" s="1"/>
      <c r="H1" s="1"/>
      <c r="I1" s="1"/>
      <c r="J1" s="1"/>
      <c r="K1" s="1"/>
      <c r="L1" s="1"/>
      <c r="M1" s="1"/>
      <c r="N1" s="1"/>
      <c r="O1" s="1"/>
    </row>
    <row r="2" spans="1:15" ht="15.75">
      <c r="A2" s="17" t="s">
        <v>5</v>
      </c>
      <c r="B2" s="18" t="s">
        <v>4</v>
      </c>
      <c r="C2" s="1"/>
      <c r="D2" s="1"/>
      <c r="F2" s="1"/>
      <c r="G2" s="1"/>
      <c r="H2" s="1"/>
      <c r="I2" s="1"/>
      <c r="J2" s="1"/>
      <c r="K2" s="1"/>
      <c r="L2" s="1"/>
      <c r="M2" s="1"/>
      <c r="N2" s="1"/>
      <c r="O2" s="1"/>
    </row>
    <row r="3" spans="1:15" ht="15.75">
      <c r="A3" s="7">
        <v>2250</v>
      </c>
      <c r="B3" s="14" t="s">
        <v>412</v>
      </c>
      <c r="C3" s="1"/>
      <c r="D3" s="1"/>
      <c r="F3" s="1"/>
      <c r="G3" s="1"/>
      <c r="H3" s="1"/>
      <c r="I3" s="1"/>
      <c r="J3" s="1"/>
      <c r="K3" s="1"/>
      <c r="L3" s="1"/>
      <c r="M3" s="1"/>
      <c r="N3" s="1"/>
      <c r="O3" s="1"/>
    </row>
    <row r="4" spans="1:15" ht="15.75">
      <c r="A4" s="1"/>
      <c r="B4" s="1"/>
      <c r="C4" s="1"/>
      <c r="D4" s="19"/>
      <c r="F4" s="1"/>
      <c r="G4" s="1"/>
      <c r="H4" s="1"/>
      <c r="I4" s="1"/>
      <c r="J4" s="1"/>
      <c r="K4" s="1"/>
      <c r="L4" s="1"/>
      <c r="M4" s="1"/>
      <c r="N4" s="1"/>
      <c r="O4" s="1"/>
    </row>
    <row r="5" spans="1:15" ht="15.75">
      <c r="A5" s="1"/>
      <c r="C5" s="11" t="s">
        <v>2</v>
      </c>
      <c r="D5" s="16" t="s">
        <v>3</v>
      </c>
      <c r="E5" s="42"/>
      <c r="F5" s="42"/>
      <c r="G5" s="42"/>
      <c r="H5" s="42"/>
      <c r="I5" s="42"/>
      <c r="J5" s="1"/>
      <c r="K5" s="1"/>
      <c r="L5" s="1"/>
      <c r="M5" s="1"/>
      <c r="N5" s="1"/>
      <c r="O5" s="1"/>
    </row>
    <row r="6" spans="1:14" ht="15.75">
      <c r="A6" s="48" t="s">
        <v>49</v>
      </c>
      <c r="B6" s="19"/>
      <c r="C6" s="66">
        <v>39447</v>
      </c>
      <c r="D6" s="126">
        <v>39082</v>
      </c>
      <c r="F6" s="47" t="s">
        <v>48</v>
      </c>
      <c r="G6" s="1"/>
      <c r="H6" s="1"/>
      <c r="I6" s="1"/>
      <c r="J6" s="1"/>
      <c r="K6" s="47" t="s">
        <v>50</v>
      </c>
      <c r="L6" s="6"/>
      <c r="M6" s="12">
        <f>Ar_1</f>
        <v>39447</v>
      </c>
      <c r="N6" s="12">
        <f>Ar_2</f>
        <v>39082</v>
      </c>
    </row>
    <row r="7" spans="1:14" ht="15.75">
      <c r="A7" s="20" t="s">
        <v>1</v>
      </c>
      <c r="B7" s="21" t="s">
        <v>0</v>
      </c>
      <c r="C7" s="21" t="s">
        <v>8</v>
      </c>
      <c r="D7" s="10" t="s">
        <v>9</v>
      </c>
      <c r="E7" s="43"/>
      <c r="F7" s="44" t="s">
        <v>1</v>
      </c>
      <c r="G7" s="44" t="s">
        <v>0</v>
      </c>
      <c r="H7" s="44" t="s">
        <v>8</v>
      </c>
      <c r="I7" s="44" t="s">
        <v>9</v>
      </c>
      <c r="K7" s="4" t="s">
        <v>6</v>
      </c>
      <c r="L7" s="4" t="s">
        <v>7</v>
      </c>
      <c r="M7" s="4" t="s">
        <v>8</v>
      </c>
      <c r="N7" s="4" t="s">
        <v>9</v>
      </c>
    </row>
    <row r="8" spans="1:14" ht="15.75">
      <c r="A8" s="5">
        <v>83</v>
      </c>
      <c r="B8" s="9" t="s">
        <v>62</v>
      </c>
      <c r="C8" s="9">
        <v>-4138359</v>
      </c>
      <c r="D8" s="8">
        <v>-4121172</v>
      </c>
      <c r="E8" s="40"/>
      <c r="F8" s="45">
        <v>126</v>
      </c>
      <c r="G8" s="45" t="s">
        <v>376</v>
      </c>
      <c r="H8" s="45">
        <v>-3999865</v>
      </c>
      <c r="I8" s="45">
        <v>-3995757</v>
      </c>
      <c r="K8" s="2">
        <v>1111</v>
      </c>
      <c r="L8" s="3" t="s">
        <v>24</v>
      </c>
      <c r="M8" s="2">
        <v>77183231</v>
      </c>
      <c r="N8" s="2">
        <v>77183231</v>
      </c>
    </row>
    <row r="9" spans="1:14" ht="15.75">
      <c r="A9" s="5">
        <v>84</v>
      </c>
      <c r="B9" s="9" t="s">
        <v>347</v>
      </c>
      <c r="C9" s="9">
        <v>1669540</v>
      </c>
      <c r="D9" s="9">
        <v>1480623</v>
      </c>
      <c r="E9" s="40"/>
      <c r="F9" s="45">
        <v>127</v>
      </c>
      <c r="G9" s="45" t="s">
        <v>377</v>
      </c>
      <c r="H9" s="45">
        <v>-103056</v>
      </c>
      <c r="I9" s="45">
        <v>-115065</v>
      </c>
      <c r="K9" s="2">
        <v>1119</v>
      </c>
      <c r="L9" s="3" t="s">
        <v>236</v>
      </c>
      <c r="M9" s="2">
        <v>-2844633</v>
      </c>
      <c r="N9" s="2">
        <v>-2474486</v>
      </c>
    </row>
    <row r="10" spans="1:14" ht="15.75">
      <c r="A10" s="5">
        <v>85</v>
      </c>
      <c r="B10" s="9" t="s">
        <v>348</v>
      </c>
      <c r="C10" s="9">
        <v>0</v>
      </c>
      <c r="D10" s="9">
        <v>118460</v>
      </c>
      <c r="E10" s="40"/>
      <c r="F10" s="45">
        <v>128</v>
      </c>
      <c r="G10" s="45" t="s">
        <v>378</v>
      </c>
      <c r="H10" s="45">
        <v>-35440</v>
      </c>
      <c r="I10" s="45">
        <v>-15514</v>
      </c>
      <c r="K10" s="2">
        <v>1211</v>
      </c>
      <c r="L10" s="3" t="s">
        <v>237</v>
      </c>
      <c r="M10" s="2">
        <v>12980</v>
      </c>
      <c r="N10" s="2">
        <v>12980</v>
      </c>
    </row>
    <row r="11" spans="1:14" ht="15.75">
      <c r="A11" s="5">
        <v>86</v>
      </c>
      <c r="B11" s="9" t="s">
        <v>349</v>
      </c>
      <c r="C11" s="9">
        <v>352200</v>
      </c>
      <c r="D11" s="9">
        <v>223070</v>
      </c>
      <c r="E11" s="40"/>
      <c r="F11" s="45">
        <v>132</v>
      </c>
      <c r="G11" s="45" t="s">
        <v>379</v>
      </c>
      <c r="H11" s="45">
        <v>258199</v>
      </c>
      <c r="I11" s="45">
        <v>229235</v>
      </c>
      <c r="K11" s="2">
        <v>1219</v>
      </c>
      <c r="L11" s="3" t="s">
        <v>238</v>
      </c>
      <c r="M11" s="2">
        <v>-12980</v>
      </c>
      <c r="N11" s="2">
        <v>-12980</v>
      </c>
    </row>
    <row r="12" spans="1:14" ht="15.75">
      <c r="A12" s="5">
        <v>87</v>
      </c>
      <c r="B12" s="9" t="s">
        <v>350</v>
      </c>
      <c r="C12" s="9">
        <v>421000</v>
      </c>
      <c r="D12" s="9">
        <v>421000</v>
      </c>
      <c r="E12" s="40"/>
      <c r="F12" s="45">
        <v>133</v>
      </c>
      <c r="G12" s="45" t="s">
        <v>380</v>
      </c>
      <c r="H12" s="45">
        <v>337190</v>
      </c>
      <c r="I12" s="45">
        <v>277070</v>
      </c>
      <c r="K12" s="2">
        <v>1351</v>
      </c>
      <c r="L12" s="3" t="s">
        <v>239</v>
      </c>
      <c r="M12" s="2">
        <v>500</v>
      </c>
      <c r="N12" s="2">
        <v>500</v>
      </c>
    </row>
    <row r="13" spans="1:14" ht="26.25">
      <c r="A13" s="67">
        <v>88</v>
      </c>
      <c r="B13" s="9" t="s">
        <v>351</v>
      </c>
      <c r="C13" s="9">
        <v>370147</v>
      </c>
      <c r="D13" s="9">
        <v>368122</v>
      </c>
      <c r="E13" s="40"/>
      <c r="F13" s="45">
        <v>134</v>
      </c>
      <c r="G13" s="45" t="s">
        <v>381</v>
      </c>
      <c r="H13" s="45">
        <v>748793</v>
      </c>
      <c r="I13" s="45">
        <v>687320</v>
      </c>
      <c r="K13" s="2">
        <v>1511</v>
      </c>
      <c r="L13" s="3" t="s">
        <v>240</v>
      </c>
      <c r="M13" s="2">
        <v>0</v>
      </c>
      <c r="N13" s="2">
        <v>0</v>
      </c>
    </row>
    <row r="14" spans="1:14" ht="15.75">
      <c r="A14" s="5">
        <v>92</v>
      </c>
      <c r="B14" s="9" t="s">
        <v>352</v>
      </c>
      <c r="C14" s="9">
        <v>-146927.65</v>
      </c>
      <c r="D14" s="9">
        <v>-28777.84</v>
      </c>
      <c r="E14" s="40"/>
      <c r="F14" s="45">
        <v>135</v>
      </c>
      <c r="G14" s="45" t="s">
        <v>382</v>
      </c>
      <c r="H14" s="45">
        <v>258998</v>
      </c>
      <c r="I14" s="45">
        <v>239041</v>
      </c>
      <c r="K14" s="2">
        <v>1512</v>
      </c>
      <c r="L14" s="3" t="s">
        <v>241</v>
      </c>
      <c r="M14" s="2">
        <v>0</v>
      </c>
      <c r="N14" s="2">
        <v>7485</v>
      </c>
    </row>
    <row r="15" spans="1:14" ht="15.75">
      <c r="A15" s="5">
        <v>94</v>
      </c>
      <c r="B15" s="9" t="s">
        <v>353</v>
      </c>
      <c r="C15" s="9">
        <v>40796</v>
      </c>
      <c r="D15" s="9">
        <v>468424</v>
      </c>
      <c r="E15" s="40"/>
      <c r="F15" s="45">
        <v>136</v>
      </c>
      <c r="G15" s="45" t="s">
        <v>383</v>
      </c>
      <c r="H15" s="45">
        <v>370812</v>
      </c>
      <c r="I15" s="45">
        <v>348082</v>
      </c>
      <c r="K15" s="2">
        <v>1521</v>
      </c>
      <c r="L15" s="3" t="s">
        <v>242</v>
      </c>
      <c r="M15" s="2">
        <v>3266</v>
      </c>
      <c r="N15" s="2">
        <v>0</v>
      </c>
    </row>
    <row r="16" spans="1:14" ht="15.75">
      <c r="A16" s="5">
        <v>124</v>
      </c>
      <c r="B16" s="9" t="s">
        <v>354</v>
      </c>
      <c r="C16" s="9">
        <v>1222087</v>
      </c>
      <c r="D16" s="9">
        <v>516543</v>
      </c>
      <c r="E16" s="40"/>
      <c r="F16" s="45">
        <v>137</v>
      </c>
      <c r="G16" s="45" t="s">
        <v>384</v>
      </c>
      <c r="H16" s="45">
        <v>67761</v>
      </c>
      <c r="I16" s="45">
        <v>42168</v>
      </c>
      <c r="K16" s="2">
        <v>1618</v>
      </c>
      <c r="L16" s="3" t="s">
        <v>243</v>
      </c>
      <c r="M16" s="2">
        <v>11713</v>
      </c>
      <c r="N16" s="2">
        <v>792</v>
      </c>
    </row>
    <row r="17" spans="1:14" ht="15.75">
      <c r="A17" s="5">
        <v>168</v>
      </c>
      <c r="B17" s="9" t="s">
        <v>132</v>
      </c>
      <c r="C17" s="9">
        <v>14218</v>
      </c>
      <c r="D17" s="9">
        <v>110438</v>
      </c>
      <c r="E17" s="40"/>
      <c r="F17" s="45">
        <v>138</v>
      </c>
      <c r="G17" s="45" t="s">
        <v>385</v>
      </c>
      <c r="H17" s="45">
        <v>51222</v>
      </c>
      <c r="I17" s="45">
        <v>58029</v>
      </c>
      <c r="K17" s="2">
        <v>1791</v>
      </c>
      <c r="L17" s="3" t="s">
        <v>244</v>
      </c>
      <c r="M17" s="2">
        <v>143553</v>
      </c>
      <c r="N17" s="2">
        <v>142667</v>
      </c>
    </row>
    <row r="18" spans="1:14" ht="15.75">
      <c r="A18" s="5">
        <v>201</v>
      </c>
      <c r="B18" s="9" t="s">
        <v>175</v>
      </c>
      <c r="C18" s="9">
        <v>1683758</v>
      </c>
      <c r="D18" s="9">
        <v>1591061</v>
      </c>
      <c r="E18" s="40"/>
      <c r="F18" s="45">
        <v>141</v>
      </c>
      <c r="G18" s="45" t="s">
        <v>386</v>
      </c>
      <c r="H18" s="45">
        <v>4807</v>
      </c>
      <c r="I18" s="45">
        <v>3607</v>
      </c>
      <c r="K18" s="2">
        <v>1792</v>
      </c>
      <c r="L18" s="3" t="s">
        <v>245</v>
      </c>
      <c r="M18" s="2">
        <v>59472</v>
      </c>
      <c r="N18" s="2">
        <v>127440</v>
      </c>
    </row>
    <row r="19" spans="1:14" ht="15.75">
      <c r="A19" s="5">
        <v>95</v>
      </c>
      <c r="B19" s="9" t="s">
        <v>19</v>
      </c>
      <c r="C19" s="9">
        <v>0</v>
      </c>
      <c r="D19" s="9">
        <v>443269.84</v>
      </c>
      <c r="E19" s="40"/>
      <c r="F19" s="45">
        <v>142</v>
      </c>
      <c r="G19" s="45" t="s">
        <v>387</v>
      </c>
      <c r="H19" s="45">
        <v>89571</v>
      </c>
      <c r="I19" s="45">
        <v>81177</v>
      </c>
      <c r="K19" s="2">
        <v>1940</v>
      </c>
      <c r="L19" s="3" t="s">
        <v>192</v>
      </c>
      <c r="M19" s="2">
        <v>2057223.83</v>
      </c>
      <c r="N19" s="2">
        <v>2177590.18</v>
      </c>
    </row>
    <row r="20" spans="1:14" ht="15.75">
      <c r="A20" s="5">
        <v>96</v>
      </c>
      <c r="B20" s="9" t="s">
        <v>355</v>
      </c>
      <c r="C20" s="9">
        <v>74338598</v>
      </c>
      <c r="D20" s="9">
        <v>74708745</v>
      </c>
      <c r="E20" s="40"/>
      <c r="F20" s="45">
        <v>143</v>
      </c>
      <c r="G20" s="45" t="s">
        <v>388</v>
      </c>
      <c r="H20" s="45">
        <v>155365</v>
      </c>
      <c r="I20" s="45">
        <v>124825</v>
      </c>
      <c r="K20" s="2">
        <v>1981</v>
      </c>
      <c r="L20" s="3" t="s">
        <v>246</v>
      </c>
      <c r="M20" s="2">
        <v>410154.52</v>
      </c>
      <c r="N20" s="2">
        <v>346483.52</v>
      </c>
    </row>
    <row r="21" spans="1:14" ht="15.75">
      <c r="A21" s="5">
        <v>100</v>
      </c>
      <c r="B21" s="9" t="s">
        <v>356</v>
      </c>
      <c r="C21" s="9">
        <v>0</v>
      </c>
      <c r="D21" s="9">
        <v>0</v>
      </c>
      <c r="E21" s="40"/>
      <c r="F21" s="45">
        <v>145</v>
      </c>
      <c r="G21" s="45" t="s">
        <v>389</v>
      </c>
      <c r="H21" s="45">
        <v>0</v>
      </c>
      <c r="I21" s="45">
        <v>0</v>
      </c>
      <c r="K21" s="2">
        <v>2083</v>
      </c>
      <c r="L21" s="3" t="s">
        <v>211</v>
      </c>
      <c r="M21" s="2">
        <v>-26910988</v>
      </c>
      <c r="N21" s="2">
        <v>-26910988</v>
      </c>
    </row>
    <row r="22" spans="1:14" ht="15.75">
      <c r="A22" s="5">
        <v>101</v>
      </c>
      <c r="B22" s="9" t="s">
        <v>357</v>
      </c>
      <c r="C22" s="9">
        <v>500</v>
      </c>
      <c r="D22" s="9">
        <v>500</v>
      </c>
      <c r="E22" s="40"/>
      <c r="F22" s="45">
        <v>147</v>
      </c>
      <c r="G22" s="45" t="s">
        <v>390</v>
      </c>
      <c r="H22" s="45">
        <v>370147</v>
      </c>
      <c r="I22" s="45">
        <v>365066</v>
      </c>
      <c r="K22" s="2">
        <v>2087</v>
      </c>
      <c r="L22" s="3" t="s">
        <v>247</v>
      </c>
      <c r="M22" s="2">
        <v>-4262361</v>
      </c>
      <c r="N22" s="2">
        <v>-4262361</v>
      </c>
    </row>
    <row r="23" spans="1:14" ht="26.25">
      <c r="A23" s="5">
        <v>104</v>
      </c>
      <c r="B23" s="9" t="s">
        <v>358</v>
      </c>
      <c r="C23" s="9">
        <v>3266</v>
      </c>
      <c r="D23" s="9">
        <v>7485</v>
      </c>
      <c r="E23" s="40"/>
      <c r="F23" s="45">
        <v>149</v>
      </c>
      <c r="G23" s="45" t="s">
        <v>391</v>
      </c>
      <c r="H23" s="45">
        <v>1504862</v>
      </c>
      <c r="I23" s="45">
        <v>1210183</v>
      </c>
      <c r="K23" s="2">
        <v>2091</v>
      </c>
      <c r="L23" s="3" t="s">
        <v>248</v>
      </c>
      <c r="M23" s="2">
        <v>-3285519.7</v>
      </c>
      <c r="N23" s="2">
        <v>-3092249.86</v>
      </c>
    </row>
    <row r="24" spans="1:14" ht="26.25">
      <c r="A24" s="5">
        <v>105</v>
      </c>
      <c r="B24" s="9" t="s">
        <v>359</v>
      </c>
      <c r="C24" s="9">
        <v>11713</v>
      </c>
      <c r="D24" s="9">
        <v>792</v>
      </c>
      <c r="E24" s="40"/>
      <c r="F24" s="45">
        <v>150</v>
      </c>
      <c r="G24" s="45" t="s">
        <v>392</v>
      </c>
      <c r="H24" s="45">
        <v>5</v>
      </c>
      <c r="I24" s="45">
        <v>0</v>
      </c>
      <c r="K24" s="2">
        <v>2099</v>
      </c>
      <c r="L24" s="3" t="s">
        <v>19</v>
      </c>
      <c r="M24" s="2">
        <v>0</v>
      </c>
      <c r="N24" s="2">
        <v>-443269.84</v>
      </c>
    </row>
    <row r="25" spans="1:14" ht="26.25">
      <c r="A25" s="5">
        <v>106</v>
      </c>
      <c r="B25" s="9" t="s">
        <v>360</v>
      </c>
      <c r="C25" s="9">
        <v>203025</v>
      </c>
      <c r="D25" s="9">
        <v>270107</v>
      </c>
      <c r="E25" s="40"/>
      <c r="F25" s="45">
        <v>151</v>
      </c>
      <c r="G25" s="45" t="s">
        <v>393</v>
      </c>
      <c r="H25" s="45">
        <v>-282780</v>
      </c>
      <c r="I25" s="45">
        <v>-693640</v>
      </c>
      <c r="K25" s="2">
        <v>2281</v>
      </c>
      <c r="L25" s="3" t="s">
        <v>42</v>
      </c>
      <c r="M25" s="2">
        <v>-2176670</v>
      </c>
      <c r="N25" s="2">
        <v>-1926670</v>
      </c>
    </row>
    <row r="26" spans="1:14" ht="15.75">
      <c r="A26" s="5">
        <v>108</v>
      </c>
      <c r="B26" s="9" t="s">
        <v>361</v>
      </c>
      <c r="C26" s="9">
        <v>410154.52</v>
      </c>
      <c r="D26" s="9">
        <v>346483.52</v>
      </c>
      <c r="E26" s="40"/>
      <c r="F26" s="45">
        <v>154</v>
      </c>
      <c r="G26" s="45" t="s">
        <v>394</v>
      </c>
      <c r="H26" s="45">
        <v>11713</v>
      </c>
      <c r="I26" s="45">
        <v>792</v>
      </c>
      <c r="K26" s="2">
        <v>2351</v>
      </c>
      <c r="L26" s="3" t="s">
        <v>249</v>
      </c>
      <c r="M26" s="2">
        <v>-34911550</v>
      </c>
      <c r="N26" s="2">
        <v>-38485302</v>
      </c>
    </row>
    <row r="27" spans="1:14" ht="15.75">
      <c r="A27" s="5">
        <v>109</v>
      </c>
      <c r="B27" s="9" t="s">
        <v>362</v>
      </c>
      <c r="C27" s="9">
        <v>2057223.83</v>
      </c>
      <c r="D27" s="9">
        <v>2177590.18</v>
      </c>
      <c r="E27" s="40"/>
      <c r="F27" s="45">
        <v>166</v>
      </c>
      <c r="G27" s="45" t="s">
        <v>395</v>
      </c>
      <c r="H27" s="45">
        <v>2</v>
      </c>
      <c r="I27" s="45">
        <v>0</v>
      </c>
      <c r="K27" s="2">
        <v>2425</v>
      </c>
      <c r="L27" s="3" t="s">
        <v>250</v>
      </c>
      <c r="M27" s="2">
        <v>-21000</v>
      </c>
      <c r="N27" s="2">
        <v>-21000</v>
      </c>
    </row>
    <row r="28" spans="1:14" ht="15.75">
      <c r="A28" s="5">
        <v>110</v>
      </c>
      <c r="B28" s="9" t="s">
        <v>363</v>
      </c>
      <c r="C28" s="9">
        <v>-26910988</v>
      </c>
      <c r="D28" s="9">
        <v>-26910988</v>
      </c>
      <c r="E28" s="40"/>
      <c r="F28" s="45">
        <v>174</v>
      </c>
      <c r="G28" s="45" t="s">
        <v>396</v>
      </c>
      <c r="H28" s="45">
        <v>21397</v>
      </c>
      <c r="I28" s="45">
        <v>23496</v>
      </c>
      <c r="K28" s="2">
        <v>2441</v>
      </c>
      <c r="L28" s="3" t="s">
        <v>45</v>
      </c>
      <c r="M28" s="2">
        <v>-102986</v>
      </c>
      <c r="N28" s="2">
        <v>-186640</v>
      </c>
    </row>
    <row r="29" spans="1:14" ht="15.75">
      <c r="A29" s="5">
        <v>111</v>
      </c>
      <c r="B29" s="9" t="s">
        <v>364</v>
      </c>
      <c r="C29" s="9">
        <v>-4262361</v>
      </c>
      <c r="D29" s="9">
        <v>-4262361</v>
      </c>
      <c r="E29" s="40"/>
      <c r="F29" s="45">
        <v>175</v>
      </c>
      <c r="G29" s="45" t="s">
        <v>397</v>
      </c>
      <c r="H29" s="45">
        <v>54218</v>
      </c>
      <c r="I29" s="45">
        <v>53893</v>
      </c>
      <c r="K29" s="2">
        <v>2445</v>
      </c>
      <c r="L29" s="3" t="s">
        <v>251</v>
      </c>
      <c r="M29" s="2">
        <v>0</v>
      </c>
      <c r="N29" s="2">
        <v>0</v>
      </c>
    </row>
    <row r="30" spans="1:14" ht="15.75">
      <c r="A30" s="5">
        <v>112</v>
      </c>
      <c r="B30" s="9" t="s">
        <v>365</v>
      </c>
      <c r="C30" s="9">
        <v>-3285519.7</v>
      </c>
      <c r="D30" s="9">
        <v>-3092249.86</v>
      </c>
      <c r="E30" s="40"/>
      <c r="F30" s="45">
        <v>176</v>
      </c>
      <c r="G30" s="45" t="s">
        <v>398</v>
      </c>
      <c r="H30" s="45">
        <v>77183231</v>
      </c>
      <c r="I30" s="45">
        <v>77183231</v>
      </c>
      <c r="K30" s="2">
        <v>2447</v>
      </c>
      <c r="L30" s="3" t="s">
        <v>252</v>
      </c>
      <c r="M30" s="2">
        <v>0</v>
      </c>
      <c r="N30" s="2">
        <v>0</v>
      </c>
    </row>
    <row r="31" spans="1:14" ht="15.75">
      <c r="A31" s="5">
        <v>114</v>
      </c>
      <c r="B31" s="9" t="s">
        <v>366</v>
      </c>
      <c r="C31" s="9">
        <v>0</v>
      </c>
      <c r="D31" s="9">
        <v>-443269.84</v>
      </c>
      <c r="E31" s="40"/>
      <c r="F31" s="45">
        <v>177</v>
      </c>
      <c r="G31" s="45" t="s">
        <v>399</v>
      </c>
      <c r="H31" s="45">
        <v>370147</v>
      </c>
      <c r="I31" s="45">
        <v>365066</v>
      </c>
      <c r="K31" s="2">
        <v>2448</v>
      </c>
      <c r="L31" s="3" t="s">
        <v>253</v>
      </c>
      <c r="M31" s="2">
        <v>-33492</v>
      </c>
      <c r="N31" s="2">
        <v>0</v>
      </c>
    </row>
    <row r="32" spans="1:14" ht="15.75">
      <c r="A32" s="13">
        <v>115</v>
      </c>
      <c r="B32" s="6" t="s">
        <v>367</v>
      </c>
      <c r="C32" s="6">
        <v>-2176670</v>
      </c>
      <c r="D32" s="6">
        <v>-1926670</v>
      </c>
      <c r="F32" s="2">
        <v>178</v>
      </c>
      <c r="G32" s="2" t="s">
        <v>400</v>
      </c>
      <c r="H32" s="2">
        <v>-2844633</v>
      </c>
      <c r="I32" s="2">
        <v>-2474486</v>
      </c>
      <c r="K32" s="2">
        <v>2492</v>
      </c>
      <c r="L32" s="3" t="s">
        <v>254</v>
      </c>
      <c r="M32" s="2">
        <v>-4140666</v>
      </c>
      <c r="N32" s="2">
        <v>-732500</v>
      </c>
    </row>
    <row r="33" spans="1:14" ht="15.75">
      <c r="A33" s="13">
        <v>117</v>
      </c>
      <c r="B33" s="6" t="s">
        <v>368</v>
      </c>
      <c r="C33" s="6">
        <v>-34911550</v>
      </c>
      <c r="D33" s="6">
        <v>-38485302</v>
      </c>
      <c r="F33" s="2">
        <v>192</v>
      </c>
      <c r="G33" s="2" t="s">
        <v>401</v>
      </c>
      <c r="H33" s="2">
        <v>-181182</v>
      </c>
      <c r="I33" s="2">
        <v>-333451</v>
      </c>
      <c r="K33" s="2">
        <v>2511</v>
      </c>
      <c r="L33" s="3" t="s">
        <v>46</v>
      </c>
      <c r="M33" s="2">
        <v>-402659</v>
      </c>
      <c r="N33" s="2">
        <v>-691495</v>
      </c>
    </row>
    <row r="34" spans="1:14" ht="15.75">
      <c r="A34" s="13">
        <v>120</v>
      </c>
      <c r="B34" s="6" t="s">
        <v>369</v>
      </c>
      <c r="C34" s="6">
        <v>-136478</v>
      </c>
      <c r="D34" s="6">
        <v>-186640</v>
      </c>
      <c r="F34" s="2">
        <v>193</v>
      </c>
      <c r="G34" s="2" t="s">
        <v>402</v>
      </c>
      <c r="H34" s="2">
        <v>-7700</v>
      </c>
      <c r="I34" s="2">
        <v>-1483</v>
      </c>
      <c r="K34" s="2">
        <v>2616</v>
      </c>
      <c r="L34" s="3" t="s">
        <v>255</v>
      </c>
      <c r="M34" s="2">
        <v>0</v>
      </c>
      <c r="N34" s="2">
        <v>0</v>
      </c>
    </row>
    <row r="35" spans="1:14" ht="15.75">
      <c r="A35" s="13">
        <v>121</v>
      </c>
      <c r="B35" s="6" t="s">
        <v>370</v>
      </c>
      <c r="C35" s="6">
        <v>-402659</v>
      </c>
      <c r="D35" s="6">
        <v>-691495</v>
      </c>
      <c r="F35" s="2">
        <v>195</v>
      </c>
      <c r="G35" s="2" t="s">
        <v>403</v>
      </c>
      <c r="H35" s="2">
        <v>-139227.65</v>
      </c>
      <c r="I35" s="2">
        <v>-27294.84</v>
      </c>
      <c r="K35" s="2">
        <v>2646</v>
      </c>
      <c r="L35" s="3" t="s">
        <v>256</v>
      </c>
      <c r="M35" s="2">
        <v>0</v>
      </c>
      <c r="N35" s="2">
        <v>0</v>
      </c>
    </row>
    <row r="36" spans="1:14" ht="15.75">
      <c r="A36" s="13">
        <v>122</v>
      </c>
      <c r="B36" s="6" t="s">
        <v>371</v>
      </c>
      <c r="C36" s="6">
        <v>-4170543</v>
      </c>
      <c r="D36" s="6">
        <v>-755492</v>
      </c>
      <c r="F36" s="2">
        <v>196</v>
      </c>
      <c r="G36" s="2" t="s">
        <v>404</v>
      </c>
      <c r="H36" s="2">
        <v>6952</v>
      </c>
      <c r="I36" s="2">
        <v>7341</v>
      </c>
      <c r="K36" s="2">
        <v>2651</v>
      </c>
      <c r="L36" s="3" t="s">
        <v>257</v>
      </c>
      <c r="M36" s="2">
        <v>-3677</v>
      </c>
      <c r="N36" s="2">
        <v>-1992</v>
      </c>
    </row>
    <row r="37" spans="1:14" ht="15.75">
      <c r="A37" s="13">
        <v>123</v>
      </c>
      <c r="B37" s="6" t="s">
        <v>372</v>
      </c>
      <c r="C37" s="6">
        <v>-572413</v>
      </c>
      <c r="D37" s="6">
        <v>-757235</v>
      </c>
      <c r="F37" s="2">
        <v>202</v>
      </c>
      <c r="G37" s="2" t="s">
        <v>405</v>
      </c>
      <c r="H37" s="2">
        <v>14218</v>
      </c>
      <c r="I37" s="2">
        <v>110438</v>
      </c>
      <c r="K37" s="2">
        <v>2711</v>
      </c>
      <c r="L37" s="3" t="s">
        <v>258</v>
      </c>
      <c r="M37" s="2">
        <v>0</v>
      </c>
      <c r="N37" s="2">
        <v>0</v>
      </c>
    </row>
    <row r="38" spans="1:14" ht="15.75">
      <c r="A38" s="13">
        <v>161</v>
      </c>
      <c r="B38" s="6" t="s">
        <v>52</v>
      </c>
      <c r="C38" s="6">
        <v>0</v>
      </c>
      <c r="D38" s="6">
        <v>0</v>
      </c>
      <c r="F38" s="2">
        <v>203</v>
      </c>
      <c r="G38" s="2" t="s">
        <v>406</v>
      </c>
      <c r="H38" s="2">
        <v>40798</v>
      </c>
      <c r="I38" s="2">
        <v>468425</v>
      </c>
      <c r="K38" s="2">
        <v>2893</v>
      </c>
      <c r="L38" s="3" t="s">
        <v>259</v>
      </c>
      <c r="M38" s="2">
        <v>0</v>
      </c>
      <c r="N38" s="2">
        <v>0</v>
      </c>
    </row>
    <row r="39" spans="1:14" ht="15.75">
      <c r="A39" s="13">
        <v>204</v>
      </c>
      <c r="B39" s="6" t="s">
        <v>373</v>
      </c>
      <c r="C39" s="6">
        <v>74338598</v>
      </c>
      <c r="D39" s="6">
        <v>74708745</v>
      </c>
      <c r="F39" s="2">
        <v>207</v>
      </c>
      <c r="G39" s="2" t="s">
        <v>407</v>
      </c>
      <c r="H39" s="2">
        <v>5</v>
      </c>
      <c r="I39" s="2">
        <v>0</v>
      </c>
      <c r="K39" s="2">
        <v>2899</v>
      </c>
      <c r="L39" s="3" t="s">
        <v>260</v>
      </c>
      <c r="M39" s="2">
        <v>-5200</v>
      </c>
      <c r="N39" s="2">
        <v>0</v>
      </c>
    </row>
    <row r="40" spans="1:14" ht="15.75">
      <c r="A40" s="13">
        <v>205</v>
      </c>
      <c r="B40" s="6" t="s">
        <v>374</v>
      </c>
      <c r="C40" s="6">
        <v>-34911550</v>
      </c>
      <c r="D40" s="6">
        <v>-38485302</v>
      </c>
      <c r="F40" s="2">
        <v>209</v>
      </c>
      <c r="G40" s="2" t="s">
        <v>408</v>
      </c>
      <c r="H40" s="2">
        <v>0</v>
      </c>
      <c r="I40" s="2">
        <v>5955</v>
      </c>
      <c r="K40" s="2">
        <v>2941</v>
      </c>
      <c r="L40" s="3" t="s">
        <v>261</v>
      </c>
      <c r="M40" s="2">
        <v>0</v>
      </c>
      <c r="N40" s="2">
        <v>-213</v>
      </c>
    </row>
    <row r="41" spans="1:14" ht="15.75">
      <c r="A41" s="13">
        <v>206</v>
      </c>
      <c r="B41" s="6" t="s">
        <v>375</v>
      </c>
      <c r="C41" s="6">
        <v>-4170543</v>
      </c>
      <c r="D41" s="6">
        <v>-755492</v>
      </c>
      <c r="F41" s="2">
        <v>130</v>
      </c>
      <c r="G41" s="2" t="s">
        <v>409</v>
      </c>
      <c r="H41" s="2">
        <v>0</v>
      </c>
      <c r="I41" s="2">
        <v>5164</v>
      </c>
      <c r="K41" s="2">
        <v>2981</v>
      </c>
      <c r="L41" s="3" t="s">
        <v>262</v>
      </c>
      <c r="M41" s="2">
        <v>-181182</v>
      </c>
      <c r="N41" s="2">
        <v>-333451</v>
      </c>
    </row>
    <row r="42" spans="1:14" ht="15.75">
      <c r="A42" s="13"/>
      <c r="F42" s="2">
        <v>144</v>
      </c>
      <c r="G42" s="2" t="s">
        <v>410</v>
      </c>
      <c r="H42" s="2">
        <v>0</v>
      </c>
      <c r="I42" s="2">
        <v>118460</v>
      </c>
      <c r="K42" s="2">
        <v>2990</v>
      </c>
      <c r="L42" s="3" t="s">
        <v>263</v>
      </c>
      <c r="M42" s="2">
        <v>0</v>
      </c>
      <c r="N42" s="2">
        <v>0</v>
      </c>
    </row>
    <row r="43" spans="1:14" ht="15.75">
      <c r="A43" s="13"/>
      <c r="F43" s="2">
        <v>148</v>
      </c>
      <c r="G43" s="2" t="s">
        <v>411</v>
      </c>
      <c r="H43" s="2">
        <v>0</v>
      </c>
      <c r="I43" s="2">
        <v>3056</v>
      </c>
      <c r="K43" s="2">
        <v>2991</v>
      </c>
      <c r="L43" s="3" t="s">
        <v>264</v>
      </c>
      <c r="M43" s="2">
        <v>-391231</v>
      </c>
      <c r="N43" s="2">
        <v>-423571</v>
      </c>
    </row>
    <row r="44" spans="1:14" ht="15.75">
      <c r="A44" s="13"/>
      <c r="K44" s="2">
        <v>3011</v>
      </c>
      <c r="L44" s="3" t="s">
        <v>265</v>
      </c>
      <c r="M44" s="2">
        <v>0</v>
      </c>
      <c r="N44" s="2">
        <v>0</v>
      </c>
    </row>
    <row r="45" spans="1:14" ht="15.75">
      <c r="A45" s="13"/>
      <c r="K45" s="2">
        <v>3012</v>
      </c>
      <c r="L45" s="3" t="s">
        <v>266</v>
      </c>
      <c r="M45" s="2">
        <v>-5520</v>
      </c>
      <c r="N45" s="2">
        <v>-8817</v>
      </c>
    </row>
    <row r="46" spans="1:14" ht="15.75">
      <c r="A46" s="13"/>
      <c r="K46" s="2">
        <v>3015</v>
      </c>
      <c r="L46" s="3" t="s">
        <v>267</v>
      </c>
      <c r="M46" s="2">
        <v>-97536</v>
      </c>
      <c r="N46" s="2">
        <v>-96048</v>
      </c>
    </row>
    <row r="47" spans="1:14" ht="15.75">
      <c r="A47" s="13"/>
      <c r="B47" s="13"/>
      <c r="C47" s="13"/>
      <c r="D47" s="13"/>
      <c r="E47" s="41"/>
      <c r="F47" s="46"/>
      <c r="G47" s="46"/>
      <c r="H47" s="46"/>
      <c r="I47" s="46"/>
      <c r="K47" s="2">
        <v>3021</v>
      </c>
      <c r="L47" s="3" t="s">
        <v>268</v>
      </c>
      <c r="M47" s="2">
        <v>-3999865</v>
      </c>
      <c r="N47" s="2">
        <v>-3995757</v>
      </c>
    </row>
    <row r="48" spans="1:14" ht="15.75">
      <c r="A48" s="13"/>
      <c r="B48" s="13"/>
      <c r="C48" s="13"/>
      <c r="D48" s="13"/>
      <c r="E48" s="41"/>
      <c r="F48" s="46"/>
      <c r="G48" s="46"/>
      <c r="H48" s="46"/>
      <c r="I48" s="46"/>
      <c r="K48" s="2">
        <v>3026</v>
      </c>
      <c r="L48" s="3" t="s">
        <v>269</v>
      </c>
      <c r="M48" s="2">
        <v>0</v>
      </c>
      <c r="N48" s="2">
        <v>-10200</v>
      </c>
    </row>
    <row r="49" spans="1:14" ht="15.75">
      <c r="A49" s="13"/>
      <c r="B49" s="13"/>
      <c r="C49" s="13"/>
      <c r="D49" s="13"/>
      <c r="E49" s="41"/>
      <c r="F49" s="46"/>
      <c r="G49" s="46"/>
      <c r="H49" s="46"/>
      <c r="I49" s="46"/>
      <c r="K49" s="2">
        <v>3083</v>
      </c>
      <c r="L49" s="3" t="s">
        <v>270</v>
      </c>
      <c r="M49" s="2">
        <v>2</v>
      </c>
      <c r="N49" s="2">
        <v>0</v>
      </c>
    </row>
    <row r="50" spans="1:14" ht="15.75">
      <c r="A50" s="13"/>
      <c r="B50" s="13"/>
      <c r="C50" s="13"/>
      <c r="D50" s="13"/>
      <c r="E50" s="41"/>
      <c r="F50" s="46"/>
      <c r="G50" s="46"/>
      <c r="H50" s="46"/>
      <c r="I50" s="46"/>
      <c r="K50" s="2">
        <v>3203</v>
      </c>
      <c r="L50" s="3" t="s">
        <v>271</v>
      </c>
      <c r="M50" s="2">
        <v>-10139</v>
      </c>
      <c r="N50" s="2">
        <v>-8784</v>
      </c>
    </row>
    <row r="51" spans="1:14" ht="15.75">
      <c r="A51" s="15"/>
      <c r="B51" s="13"/>
      <c r="C51" s="13"/>
      <c r="D51" s="13"/>
      <c r="E51" s="41"/>
      <c r="F51" s="46"/>
      <c r="G51" s="46"/>
      <c r="H51" s="46"/>
      <c r="I51" s="46"/>
      <c r="K51" s="2">
        <v>3212</v>
      </c>
      <c r="L51" s="3" t="s">
        <v>272</v>
      </c>
      <c r="M51" s="2">
        <v>-12770</v>
      </c>
      <c r="N51" s="2">
        <v>0</v>
      </c>
    </row>
    <row r="52" spans="1:14" ht="15.75">
      <c r="A52" s="15"/>
      <c r="B52" s="13"/>
      <c r="C52" s="13"/>
      <c r="D52" s="13"/>
      <c r="E52" s="41"/>
      <c r="F52" s="46"/>
      <c r="G52" s="46"/>
      <c r="H52" s="46"/>
      <c r="I52" s="46"/>
      <c r="K52" s="2">
        <v>3517</v>
      </c>
      <c r="L52" s="3" t="s">
        <v>273</v>
      </c>
      <c r="M52" s="2">
        <v>-4032</v>
      </c>
      <c r="N52" s="2">
        <v>-1986</v>
      </c>
    </row>
    <row r="53" spans="11:14" ht="15.75">
      <c r="K53" s="2">
        <v>3518</v>
      </c>
      <c r="L53" s="3" t="s">
        <v>274</v>
      </c>
      <c r="M53" s="2">
        <v>-5233</v>
      </c>
      <c r="N53" s="2">
        <v>-4743</v>
      </c>
    </row>
    <row r="54" spans="11:14" ht="15.75">
      <c r="K54" s="2">
        <v>3999</v>
      </c>
      <c r="L54" s="3" t="s">
        <v>275</v>
      </c>
      <c r="M54" s="2">
        <v>-3266</v>
      </c>
      <c r="N54" s="2">
        <v>0</v>
      </c>
    </row>
    <row r="55" spans="11:14" ht="15.75">
      <c r="K55" s="2">
        <v>4012</v>
      </c>
      <c r="L55" s="3" t="s">
        <v>276</v>
      </c>
      <c r="M55" s="2">
        <v>163080</v>
      </c>
      <c r="N55" s="2">
        <v>87840</v>
      </c>
    </row>
    <row r="56" spans="11:14" ht="15.75">
      <c r="K56" s="2">
        <v>4021</v>
      </c>
      <c r="L56" s="3" t="s">
        <v>277</v>
      </c>
      <c r="M56" s="2">
        <v>89003</v>
      </c>
      <c r="N56" s="2">
        <v>97178</v>
      </c>
    </row>
    <row r="57" spans="11:14" ht="15.75">
      <c r="K57" s="2">
        <v>4022</v>
      </c>
      <c r="L57" s="3" t="s">
        <v>278</v>
      </c>
      <c r="M57" s="2">
        <v>0</v>
      </c>
      <c r="N57" s="2">
        <v>10573</v>
      </c>
    </row>
    <row r="58" spans="11:14" ht="15.75">
      <c r="K58" s="2">
        <v>4071</v>
      </c>
      <c r="L58" s="3" t="s">
        <v>279</v>
      </c>
      <c r="M58" s="2">
        <v>6116</v>
      </c>
      <c r="N58" s="2">
        <v>33644</v>
      </c>
    </row>
    <row r="59" spans="11:14" ht="15.75">
      <c r="K59" s="2">
        <v>4111</v>
      </c>
      <c r="L59" s="3" t="s">
        <v>280</v>
      </c>
      <c r="M59" s="2">
        <v>74446</v>
      </c>
      <c r="N59" s="2">
        <v>67658</v>
      </c>
    </row>
    <row r="60" spans="11:14" ht="15.75">
      <c r="K60" s="2">
        <v>4134</v>
      </c>
      <c r="L60" s="3" t="s">
        <v>281</v>
      </c>
      <c r="M60" s="2">
        <v>39072</v>
      </c>
      <c r="N60" s="2">
        <v>16809</v>
      </c>
    </row>
    <row r="61" spans="11:14" ht="15.75">
      <c r="K61" s="2">
        <v>4141</v>
      </c>
      <c r="L61" s="3" t="s">
        <v>282</v>
      </c>
      <c r="M61" s="2">
        <v>3328</v>
      </c>
      <c r="N61" s="2">
        <v>7490</v>
      </c>
    </row>
    <row r="62" spans="11:14" ht="15.75">
      <c r="K62" s="2">
        <v>4142</v>
      </c>
      <c r="L62" s="3" t="s">
        <v>283</v>
      </c>
      <c r="M62" s="2">
        <v>6359</v>
      </c>
      <c r="N62" s="2">
        <v>8247</v>
      </c>
    </row>
    <row r="63" spans="11:14" ht="15.75">
      <c r="K63" s="2">
        <v>4143</v>
      </c>
      <c r="L63" s="3" t="s">
        <v>284</v>
      </c>
      <c r="M63" s="2">
        <v>10127</v>
      </c>
      <c r="N63" s="2">
        <v>17405</v>
      </c>
    </row>
    <row r="64" spans="11:14" ht="15.75">
      <c r="K64" s="2">
        <v>4144</v>
      </c>
      <c r="L64" s="3" t="s">
        <v>285</v>
      </c>
      <c r="M64" s="2">
        <v>25425</v>
      </c>
      <c r="N64" s="2">
        <v>17209</v>
      </c>
    </row>
    <row r="65" spans="11:14" ht="15.75">
      <c r="K65" s="2">
        <v>4146</v>
      </c>
      <c r="L65" s="3" t="s">
        <v>286</v>
      </c>
      <c r="M65" s="2">
        <v>80295</v>
      </c>
      <c r="N65" s="2">
        <v>58574</v>
      </c>
    </row>
    <row r="66" spans="11:14" ht="15.75">
      <c r="K66" s="2">
        <v>4151</v>
      </c>
      <c r="L66" s="3" t="s">
        <v>287</v>
      </c>
      <c r="M66" s="2">
        <v>1816</v>
      </c>
      <c r="N66" s="2">
        <v>0</v>
      </c>
    </row>
    <row r="67" spans="11:14" ht="15.75">
      <c r="K67" s="2">
        <v>4160</v>
      </c>
      <c r="L67" s="3" t="s">
        <v>288</v>
      </c>
      <c r="M67" s="2">
        <v>65357</v>
      </c>
      <c r="N67" s="2">
        <v>60919</v>
      </c>
    </row>
    <row r="68" spans="11:14" ht="15.75">
      <c r="K68" s="2">
        <v>4181</v>
      </c>
      <c r="L68" s="3" t="s">
        <v>289</v>
      </c>
      <c r="M68" s="2">
        <v>16711</v>
      </c>
      <c r="N68" s="2">
        <v>790</v>
      </c>
    </row>
    <row r="69" spans="11:14" ht="15.75">
      <c r="K69" s="2">
        <v>4193</v>
      </c>
      <c r="L69" s="3" t="s">
        <v>290</v>
      </c>
      <c r="M69" s="2">
        <v>4879</v>
      </c>
      <c r="N69" s="2">
        <v>3057</v>
      </c>
    </row>
    <row r="70" spans="11:14" ht="15.75">
      <c r="K70" s="2">
        <v>4196</v>
      </c>
      <c r="L70" s="3" t="s">
        <v>291</v>
      </c>
      <c r="M70" s="2">
        <v>9375</v>
      </c>
      <c r="N70" s="2">
        <v>10662</v>
      </c>
    </row>
    <row r="71" spans="11:14" ht="15.75">
      <c r="K71" s="2">
        <v>4311</v>
      </c>
      <c r="L71" s="3" t="s">
        <v>292</v>
      </c>
      <c r="M71" s="2">
        <v>258998</v>
      </c>
      <c r="N71" s="2">
        <v>239041</v>
      </c>
    </row>
    <row r="72" spans="11:14" ht="15.75">
      <c r="K72" s="2">
        <v>4325</v>
      </c>
      <c r="L72" s="3" t="s">
        <v>293</v>
      </c>
      <c r="M72" s="2">
        <v>370812</v>
      </c>
      <c r="N72" s="2">
        <v>348082</v>
      </c>
    </row>
    <row r="73" spans="11:14" ht="15.75">
      <c r="K73" s="2">
        <v>4331</v>
      </c>
      <c r="L73" s="3" t="s">
        <v>59</v>
      </c>
      <c r="M73" s="2">
        <v>67761</v>
      </c>
      <c r="N73" s="2">
        <v>42168</v>
      </c>
    </row>
    <row r="74" spans="11:14" ht="15.75">
      <c r="K74" s="2">
        <v>4341</v>
      </c>
      <c r="L74" s="3" t="s">
        <v>57</v>
      </c>
      <c r="M74" s="2">
        <v>48966</v>
      </c>
      <c r="N74" s="2">
        <v>52700</v>
      </c>
    </row>
    <row r="75" spans="11:14" ht="15.75">
      <c r="K75" s="2">
        <v>4343</v>
      </c>
      <c r="L75" s="3" t="s">
        <v>294</v>
      </c>
      <c r="M75" s="2">
        <v>2256</v>
      </c>
      <c r="N75" s="2">
        <v>5329</v>
      </c>
    </row>
    <row r="76" spans="11:14" ht="15.75">
      <c r="K76" s="2">
        <v>4411</v>
      </c>
      <c r="L76" s="3" t="s">
        <v>295</v>
      </c>
      <c r="M76" s="2">
        <v>21397</v>
      </c>
      <c r="N76" s="2">
        <v>23496</v>
      </c>
    </row>
    <row r="77" spans="11:14" ht="15.75">
      <c r="K77" s="2">
        <v>4431</v>
      </c>
      <c r="L77" s="3" t="s">
        <v>296</v>
      </c>
      <c r="M77" s="2">
        <v>4807</v>
      </c>
      <c r="N77" s="2">
        <v>3607</v>
      </c>
    </row>
    <row r="78" spans="11:14" ht="15.75">
      <c r="K78" s="2">
        <v>4441</v>
      </c>
      <c r="L78" s="3" t="s">
        <v>51</v>
      </c>
      <c r="M78" s="2">
        <v>421000</v>
      </c>
      <c r="N78" s="2">
        <v>421000</v>
      </c>
    </row>
    <row r="79" spans="11:14" ht="15.75">
      <c r="K79" s="2">
        <v>4461</v>
      </c>
      <c r="L79" s="3" t="s">
        <v>297</v>
      </c>
      <c r="M79" s="2">
        <v>54218</v>
      </c>
      <c r="N79" s="2">
        <v>53893</v>
      </c>
    </row>
    <row r="80" spans="11:14" ht="15.75">
      <c r="K80" s="2">
        <v>4471</v>
      </c>
      <c r="L80" s="3" t="s">
        <v>12</v>
      </c>
      <c r="M80" s="2">
        <v>352200</v>
      </c>
      <c r="N80" s="2">
        <v>223070</v>
      </c>
    </row>
    <row r="81" spans="11:14" ht="15.75">
      <c r="K81" s="2">
        <v>4481</v>
      </c>
      <c r="L81" s="3" t="s">
        <v>298</v>
      </c>
      <c r="M81" s="2">
        <v>-20850</v>
      </c>
      <c r="N81" s="2">
        <v>0</v>
      </c>
    </row>
    <row r="82" spans="11:14" ht="15.75">
      <c r="K82" s="2">
        <v>4484</v>
      </c>
      <c r="L82" s="3" t="s">
        <v>299</v>
      </c>
      <c r="M82" s="2">
        <v>100874</v>
      </c>
      <c r="N82" s="2">
        <v>77364</v>
      </c>
    </row>
    <row r="83" spans="11:14" ht="15.75">
      <c r="K83" s="2">
        <v>4489</v>
      </c>
      <c r="L83" s="3" t="s">
        <v>300</v>
      </c>
      <c r="M83" s="2">
        <v>9547</v>
      </c>
      <c r="N83" s="2">
        <v>3813</v>
      </c>
    </row>
    <row r="84" spans="11:14" ht="15.75">
      <c r="K84" s="2">
        <v>5411</v>
      </c>
      <c r="L84" s="3" t="s">
        <v>301</v>
      </c>
      <c r="M84" s="2">
        <v>0</v>
      </c>
      <c r="N84" s="2">
        <v>0</v>
      </c>
    </row>
    <row r="85" spans="11:14" ht="15.75">
      <c r="K85" s="2">
        <v>5462</v>
      </c>
      <c r="L85" s="3" t="s">
        <v>302</v>
      </c>
      <c r="M85" s="2">
        <v>9363</v>
      </c>
      <c r="N85" s="2">
        <v>6180</v>
      </c>
    </row>
    <row r="86" spans="11:14" ht="15.75">
      <c r="K86" s="2">
        <v>5711</v>
      </c>
      <c r="L86" s="3" t="s">
        <v>303</v>
      </c>
      <c r="M86" s="2">
        <v>272</v>
      </c>
      <c r="N86" s="2">
        <v>9271</v>
      </c>
    </row>
    <row r="87" spans="11:14" ht="15.75">
      <c r="K87" s="2">
        <v>5712</v>
      </c>
      <c r="L87" s="3" t="s">
        <v>304</v>
      </c>
      <c r="M87" s="2">
        <v>257</v>
      </c>
      <c r="N87" s="2">
        <v>5446</v>
      </c>
    </row>
    <row r="88" spans="11:14" ht="15.75">
      <c r="K88" s="2">
        <v>5751</v>
      </c>
      <c r="L88" s="3" t="s">
        <v>305</v>
      </c>
      <c r="M88" s="2">
        <v>0</v>
      </c>
      <c r="N88" s="2">
        <v>23453</v>
      </c>
    </row>
    <row r="89" spans="11:14" ht="15.75">
      <c r="K89" s="2">
        <v>5921</v>
      </c>
      <c r="L89" s="3" t="s">
        <v>306</v>
      </c>
      <c r="M89" s="2">
        <v>2791</v>
      </c>
      <c r="N89" s="2">
        <v>4019</v>
      </c>
    </row>
    <row r="90" spans="11:14" ht="15.75">
      <c r="K90" s="2">
        <v>6074</v>
      </c>
      <c r="L90" s="3" t="s">
        <v>307</v>
      </c>
      <c r="M90" s="2">
        <v>0</v>
      </c>
      <c r="N90" s="2">
        <v>647</v>
      </c>
    </row>
    <row r="91" spans="11:14" ht="15.75">
      <c r="K91" s="2">
        <v>6101</v>
      </c>
      <c r="L91" s="3" t="s">
        <v>308</v>
      </c>
      <c r="M91" s="2">
        <v>822</v>
      </c>
      <c r="N91" s="2">
        <v>0</v>
      </c>
    </row>
    <row r="92" spans="11:14" ht="15.75">
      <c r="K92" s="2">
        <v>6102</v>
      </c>
      <c r="L92" s="3" t="s">
        <v>309</v>
      </c>
      <c r="M92" s="2">
        <v>3542</v>
      </c>
      <c r="N92" s="2">
        <v>921</v>
      </c>
    </row>
    <row r="93" spans="11:14" ht="15.75">
      <c r="K93" s="2">
        <v>6104</v>
      </c>
      <c r="L93" s="3" t="s">
        <v>310</v>
      </c>
      <c r="M93" s="2">
        <v>0</v>
      </c>
      <c r="N93" s="2">
        <v>1775</v>
      </c>
    </row>
    <row r="94" spans="11:14" ht="15.75">
      <c r="K94" s="2">
        <v>6211</v>
      </c>
      <c r="L94" s="3" t="s">
        <v>311</v>
      </c>
      <c r="M94" s="2">
        <v>5224</v>
      </c>
      <c r="N94" s="2">
        <v>5453</v>
      </c>
    </row>
    <row r="95" spans="11:14" ht="15.75">
      <c r="K95" s="2">
        <v>6251</v>
      </c>
      <c r="L95" s="3" t="s">
        <v>312</v>
      </c>
      <c r="M95" s="2">
        <v>0</v>
      </c>
      <c r="N95" s="2">
        <v>567</v>
      </c>
    </row>
    <row r="96" spans="11:14" ht="15.75">
      <c r="K96" s="2">
        <v>6321</v>
      </c>
      <c r="L96" s="3" t="s">
        <v>313</v>
      </c>
      <c r="M96" s="2">
        <v>3148</v>
      </c>
      <c r="N96" s="2">
        <v>0</v>
      </c>
    </row>
    <row r="97" spans="11:14" ht="15.75">
      <c r="K97" s="2">
        <v>6324</v>
      </c>
      <c r="L97" s="3" t="s">
        <v>314</v>
      </c>
      <c r="M97" s="2">
        <v>4445</v>
      </c>
      <c r="N97" s="2">
        <v>0</v>
      </c>
    </row>
    <row r="98" spans="11:14" ht="15.75">
      <c r="K98" s="2">
        <v>6417</v>
      </c>
      <c r="L98" s="3" t="s">
        <v>273</v>
      </c>
      <c r="M98" s="2">
        <v>3780</v>
      </c>
      <c r="N98" s="2">
        <v>2482</v>
      </c>
    </row>
    <row r="99" spans="11:14" ht="15.75">
      <c r="K99" s="2">
        <v>6418</v>
      </c>
      <c r="L99" s="3" t="s">
        <v>315</v>
      </c>
      <c r="M99" s="2">
        <v>5542</v>
      </c>
      <c r="N99" s="2">
        <v>2978</v>
      </c>
    </row>
    <row r="100" spans="11:14" ht="15.75">
      <c r="K100" s="2">
        <v>6421</v>
      </c>
      <c r="L100" s="3" t="s">
        <v>316</v>
      </c>
      <c r="M100" s="2">
        <v>6952</v>
      </c>
      <c r="N100" s="2">
        <v>7341</v>
      </c>
    </row>
    <row r="101" spans="11:14" ht="15.75">
      <c r="K101" s="2">
        <v>6492</v>
      </c>
      <c r="L101" s="3" t="s">
        <v>317</v>
      </c>
      <c r="M101" s="2">
        <v>800</v>
      </c>
      <c r="N101" s="2">
        <v>800</v>
      </c>
    </row>
    <row r="102" spans="11:14" ht="15.75">
      <c r="K102" s="2">
        <v>6551</v>
      </c>
      <c r="L102" s="3" t="s">
        <v>318</v>
      </c>
      <c r="M102" s="2">
        <v>93027</v>
      </c>
      <c r="N102" s="2">
        <v>37667</v>
      </c>
    </row>
    <row r="103" spans="11:14" ht="15.75">
      <c r="K103" s="2">
        <v>6985</v>
      </c>
      <c r="L103" s="3" t="s">
        <v>319</v>
      </c>
      <c r="M103" s="2">
        <v>15400</v>
      </c>
      <c r="N103" s="2">
        <v>15025</v>
      </c>
    </row>
    <row r="104" spans="11:14" ht="15.75">
      <c r="K104" s="2">
        <v>7013</v>
      </c>
      <c r="L104" s="3" t="s">
        <v>320</v>
      </c>
      <c r="M104" s="2">
        <v>12000</v>
      </c>
      <c r="N104" s="2">
        <v>12000</v>
      </c>
    </row>
    <row r="105" spans="11:14" ht="15.75">
      <c r="K105" s="2">
        <v>7211</v>
      </c>
      <c r="L105" s="3" t="s">
        <v>321</v>
      </c>
      <c r="M105" s="2">
        <v>0</v>
      </c>
      <c r="N105" s="2">
        <v>69475</v>
      </c>
    </row>
    <row r="106" spans="11:14" ht="15.75">
      <c r="K106" s="2">
        <v>7214</v>
      </c>
      <c r="L106" s="3" t="s">
        <v>322</v>
      </c>
      <c r="M106" s="2">
        <v>0</v>
      </c>
      <c r="N106" s="2">
        <v>5955</v>
      </c>
    </row>
    <row r="107" spans="11:14" ht="15.75">
      <c r="K107" s="2">
        <v>7511</v>
      </c>
      <c r="L107" s="3" t="s">
        <v>323</v>
      </c>
      <c r="M107" s="2">
        <v>-2018</v>
      </c>
      <c r="N107" s="2">
        <v>23008</v>
      </c>
    </row>
    <row r="108" spans="11:14" ht="15.75">
      <c r="K108" s="2">
        <v>7612</v>
      </c>
      <c r="L108" s="3" t="s">
        <v>324</v>
      </c>
      <c r="M108" s="2">
        <v>4236</v>
      </c>
      <c r="N108" s="2">
        <v>0</v>
      </c>
    </row>
    <row r="109" spans="11:14" ht="15.75">
      <c r="K109" s="2">
        <v>7821</v>
      </c>
      <c r="L109" s="3" t="s">
        <v>325</v>
      </c>
      <c r="M109" s="2">
        <v>370147</v>
      </c>
      <c r="N109" s="2">
        <v>365066</v>
      </c>
    </row>
    <row r="110" spans="11:14" ht="15.75">
      <c r="K110" s="2">
        <v>8301</v>
      </c>
      <c r="L110" s="3" t="s">
        <v>326</v>
      </c>
      <c r="M110" s="2">
        <v>-7700</v>
      </c>
      <c r="N110" s="2">
        <v>-1483</v>
      </c>
    </row>
    <row r="111" spans="11:14" ht="15.75">
      <c r="K111" s="2">
        <v>8337</v>
      </c>
      <c r="L111" s="3" t="s">
        <v>327</v>
      </c>
      <c r="M111" s="2">
        <v>-1221</v>
      </c>
      <c r="N111" s="2">
        <v>0</v>
      </c>
    </row>
    <row r="112" spans="11:14" ht="15.75">
      <c r="K112" s="2">
        <v>8339</v>
      </c>
      <c r="L112" s="3" t="s">
        <v>171</v>
      </c>
      <c r="M112" s="2">
        <v>-138006.65</v>
      </c>
      <c r="N112" s="2">
        <v>-27294.84</v>
      </c>
    </row>
    <row r="113" spans="11:14" ht="15.75">
      <c r="K113" s="2">
        <v>8401</v>
      </c>
      <c r="L113" s="3" t="s">
        <v>328</v>
      </c>
      <c r="M113" s="2">
        <v>5</v>
      </c>
      <c r="N113" s="2">
        <v>0</v>
      </c>
    </row>
    <row r="114" spans="11:14" ht="15.75">
      <c r="K114" s="2">
        <v>8430</v>
      </c>
      <c r="L114" s="3" t="s">
        <v>329</v>
      </c>
      <c r="M114" s="2">
        <v>1504862</v>
      </c>
      <c r="N114" s="2">
        <v>1210183</v>
      </c>
    </row>
    <row r="115" spans="11:14" ht="15.75">
      <c r="K115" s="2">
        <v>8431</v>
      </c>
      <c r="L115" s="3" t="s">
        <v>83</v>
      </c>
      <c r="M115" s="2">
        <v>-282780</v>
      </c>
      <c r="N115" s="2">
        <v>-693640</v>
      </c>
    </row>
    <row r="116" spans="11:14" ht="15.75">
      <c r="K116" s="2">
        <v>8873</v>
      </c>
      <c r="L116" s="3" t="s">
        <v>330</v>
      </c>
      <c r="M116" s="2">
        <v>0</v>
      </c>
      <c r="N116" s="2">
        <v>0</v>
      </c>
    </row>
    <row r="117" spans="11:14" ht="15.75">
      <c r="K117" s="2">
        <v>8911</v>
      </c>
      <c r="L117" s="3" t="s">
        <v>331</v>
      </c>
      <c r="M117" s="2">
        <v>40798</v>
      </c>
      <c r="N117" s="2">
        <v>468425</v>
      </c>
    </row>
    <row r="118" spans="11:14" ht="15.75">
      <c r="K118" s="2">
        <v>8912</v>
      </c>
      <c r="L118" s="3" t="s">
        <v>332</v>
      </c>
      <c r="M118" s="2">
        <v>-2</v>
      </c>
      <c r="N118" s="2">
        <v>-1</v>
      </c>
    </row>
    <row r="119" spans="11:14" ht="15.75">
      <c r="K119" s="2">
        <v>9000</v>
      </c>
      <c r="L119" s="3" t="s">
        <v>333</v>
      </c>
      <c r="M119" s="2">
        <v>0</v>
      </c>
      <c r="N119" s="2">
        <v>0</v>
      </c>
    </row>
    <row r="120" spans="11:14" ht="15.75">
      <c r="K120" s="2">
        <v>1619</v>
      </c>
      <c r="L120" s="3" t="s">
        <v>334</v>
      </c>
      <c r="M120" s="2">
        <v>0</v>
      </c>
      <c r="N120" s="2">
        <v>0</v>
      </c>
    </row>
    <row r="121" spans="11:14" ht="15.75">
      <c r="K121" s="2">
        <v>3096</v>
      </c>
      <c r="L121" s="3" t="s">
        <v>335</v>
      </c>
      <c r="M121" s="2">
        <v>0</v>
      </c>
      <c r="N121" s="2">
        <v>5164</v>
      </c>
    </row>
    <row r="122" spans="11:14" ht="15.75">
      <c r="K122" s="2">
        <v>3745</v>
      </c>
      <c r="L122" s="3" t="s">
        <v>336</v>
      </c>
      <c r="M122" s="2">
        <v>0</v>
      </c>
      <c r="N122" s="2">
        <v>-1</v>
      </c>
    </row>
    <row r="123" spans="11:14" ht="15.75">
      <c r="K123" s="2">
        <v>4013</v>
      </c>
      <c r="L123" s="3" t="s">
        <v>337</v>
      </c>
      <c r="M123" s="2">
        <v>0</v>
      </c>
      <c r="N123" s="2">
        <v>0</v>
      </c>
    </row>
    <row r="124" spans="11:14" ht="15.75">
      <c r="K124" s="2">
        <v>4135</v>
      </c>
      <c r="L124" s="3" t="s">
        <v>338</v>
      </c>
      <c r="M124" s="2">
        <v>0</v>
      </c>
      <c r="N124" s="2">
        <v>0</v>
      </c>
    </row>
    <row r="125" spans="11:14" ht="15.75">
      <c r="K125" s="2">
        <v>4199</v>
      </c>
      <c r="L125" s="3" t="s">
        <v>339</v>
      </c>
      <c r="M125" s="2">
        <v>0</v>
      </c>
      <c r="N125" s="2">
        <v>8250</v>
      </c>
    </row>
    <row r="126" spans="11:14" ht="15.75">
      <c r="K126" s="2">
        <v>4216</v>
      </c>
      <c r="L126" s="3" t="s">
        <v>340</v>
      </c>
      <c r="M126" s="2">
        <v>0</v>
      </c>
      <c r="N126" s="2">
        <v>-36123</v>
      </c>
    </row>
    <row r="127" spans="11:14" ht="15.75">
      <c r="K127" s="2">
        <v>4235</v>
      </c>
      <c r="L127" s="3" t="s">
        <v>341</v>
      </c>
      <c r="M127" s="2">
        <v>0</v>
      </c>
      <c r="N127" s="2">
        <v>-4360</v>
      </c>
    </row>
    <row r="128" spans="11:14" ht="15.75">
      <c r="K128" s="2">
        <v>4241</v>
      </c>
      <c r="L128" s="3" t="s">
        <v>342</v>
      </c>
      <c r="M128" s="2">
        <v>0</v>
      </c>
      <c r="N128" s="2">
        <v>61045</v>
      </c>
    </row>
    <row r="129" spans="11:14" ht="15.75">
      <c r="K129" s="2">
        <v>4243</v>
      </c>
      <c r="L129" s="3" t="s">
        <v>343</v>
      </c>
      <c r="M129" s="2">
        <v>0</v>
      </c>
      <c r="N129" s="2">
        <v>4360</v>
      </c>
    </row>
    <row r="130" spans="11:14" ht="15.75">
      <c r="K130" s="2">
        <v>4260</v>
      </c>
      <c r="L130" s="3" t="s">
        <v>344</v>
      </c>
      <c r="M130" s="2">
        <v>0</v>
      </c>
      <c r="N130" s="2">
        <v>93538</v>
      </c>
    </row>
    <row r="131" spans="11:14" ht="15.75">
      <c r="K131" s="2">
        <v>6591</v>
      </c>
      <c r="L131" s="3" t="s">
        <v>345</v>
      </c>
      <c r="M131" s="2">
        <v>0</v>
      </c>
      <c r="N131" s="2">
        <v>800</v>
      </c>
    </row>
    <row r="132" spans="11:14" ht="15.75">
      <c r="K132" s="2">
        <v>7831</v>
      </c>
      <c r="L132" s="3" t="s">
        <v>346</v>
      </c>
      <c r="M132" s="2">
        <v>0</v>
      </c>
      <c r="N132" s="2">
        <v>3056</v>
      </c>
    </row>
    <row r="133" spans="11:14" ht="15.75">
      <c r="K133" s="2">
        <v>8999</v>
      </c>
      <c r="L133" s="3" t="s">
        <v>19</v>
      </c>
      <c r="M133" s="2">
        <v>0</v>
      </c>
      <c r="N133" s="2">
        <v>443269.84</v>
      </c>
    </row>
  </sheetData>
  <sheetProtection/>
  <printOptions/>
  <pageMargins left="0.75" right="0.75" top="1" bottom="1" header="0.5" footer="0.5"/>
  <pageSetup horizontalDpi="600" verticalDpi="600" orientation="portrait" paperSize="9" r:id="rId1"/>
  <headerFooter alignWithMargins="0">
    <oddHeader>&amp;C&amp;A</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FSC</cp:lastModifiedBy>
  <cp:lastPrinted>2008-03-26T16:12:56Z</cp:lastPrinted>
  <dcterms:created xsi:type="dcterms:W3CDTF">1998-02-24T08:38:44Z</dcterms:created>
  <dcterms:modified xsi:type="dcterms:W3CDTF">2008-04-24T17:43:01Z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SB_ID">
    <vt:lpwstr>99</vt:lpwstr>
  </property>
  <property fmtid="{D5CDD505-2E9C-101B-9397-08002B2CF9AE}" pid="3" name="BRF_ID">
    <vt:lpwstr>2250</vt:lpwstr>
  </property>
  <property fmtid="{D5CDD505-2E9C-101B-9397-08002B2CF9AE}" pid="4" name="SKAPAD_DATUM">
    <vt:filetime>2008-03-06T23:00:00Z</vt:filetime>
  </property>
  <property fmtid="{D5CDD505-2E9C-101B-9397-08002B2CF9AE}" pid="5" name="BRF_NAMN">
    <vt:lpwstr>Munken</vt:lpwstr>
  </property>
  <property fmtid="{D5CDD505-2E9C-101B-9397-08002B2CF9AE}" pid="6" name="GALLER_AR">
    <vt:lpwstr>1900</vt:lpwstr>
  </property>
  <property fmtid="{D5CDD505-2E9C-101B-9397-08002B2CF9AE}" pid="7" name="Publiceringsdatum">
    <vt:lpwstr/>
  </property>
  <property fmtid="{D5CDD505-2E9C-101B-9397-08002B2CF9AE}" pid="8" name="Publicerad">
    <vt:bool>false</vt:bool>
  </property>
  <property fmtid="{D5CDD505-2E9C-101B-9397-08002B2CF9AE}" pid="9" name="RevSidaOK">
    <vt:bool>true</vt:bool>
  </property>
</Properties>
</file>